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threadedComments/threadedComment1.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comments13.xml" ContentType="application/vnd.openxmlformats-officedocument.spreadsheetml.comments+xml"/>
  <Override PartName="/xl/drawings/drawing17.xml" ContentType="application/vnd.openxmlformats-officedocument.drawing+xml"/>
  <Override PartName="/xl/comments14.xml" ContentType="application/vnd.openxmlformats-officedocument.spreadsheetml.comments+xml"/>
  <Override PartName="/xl/drawings/drawing18.xml" ContentType="application/vnd.openxmlformats-officedocument.drawing+xml"/>
  <Override PartName="/xl/comments15.xml" ContentType="application/vnd.openxmlformats-officedocument.spreadsheetml.comments+xml"/>
  <Override PartName="/xl/drawings/drawing19.xml" ContentType="application/vnd.openxmlformats-officedocument.drawing+xml"/>
  <Override PartName="/xl/comments16.xml" ContentType="application/vnd.openxmlformats-officedocument.spreadsheetml.comments+xml"/>
  <Override PartName="/xl/drawings/drawing20.xml" ContentType="application/vnd.openxmlformats-officedocument.drawing+xml"/>
  <Override PartName="/xl/comments17.xml" ContentType="application/vnd.openxmlformats-officedocument.spreadsheetml.comments+xml"/>
  <Override PartName="/xl/threadedComments/threadedComment2.xml" ContentType="application/vnd.ms-excel.threadedcomments+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omments18.xml" ContentType="application/vnd.openxmlformats-officedocument.spreadsheetml.comments+xml"/>
  <Override PartName="/xl/drawings/drawing24.xml" ContentType="application/vnd.openxmlformats-officedocument.drawing+xml"/>
  <Override PartName="/xl/drawings/drawing25.xml" ContentType="application/vnd.openxmlformats-officedocument.drawing+xml"/>
  <Override PartName="/xl/comments19.xml" ContentType="application/vnd.openxmlformats-officedocument.spreadsheetml.comments+xml"/>
  <Override PartName="/xl/drawings/drawing26.xml" ContentType="application/vnd.openxmlformats-officedocument.drawing+xml"/>
  <Override PartName="/xl/comments20.xml" ContentType="application/vnd.openxmlformats-officedocument.spreadsheetml.comments+xml"/>
  <Override PartName="/xl/drawings/drawing27.xml" ContentType="application/vnd.openxmlformats-officedocument.drawing+xml"/>
  <Override PartName="/xl/comments21.xml" ContentType="application/vnd.openxmlformats-officedocument.spreadsheetml.comments+xml"/>
  <Override PartName="/xl/threadedComments/threadedComment3.xml" ContentType="application/vnd.ms-excel.threadedcomments+xml"/>
  <Override PartName="/xl/drawings/drawing2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https://d.docs.live.net/d32f6a025f2874e5/Documentos/Documento Oficina/Documentos Oficina 2024/Seguimiento P.A. 2024/"/>
    </mc:Choice>
  </mc:AlternateContent>
  <xr:revisionPtr revIDLastSave="6" documentId="8_{F9929BFC-6042-40F6-8CFE-4DBEF2389C9A}" xr6:coauthVersionLast="47" xr6:coauthVersionMax="47" xr10:uidLastSave="{96FE5520-BFE9-47F8-9599-3B3BE505FAC1}"/>
  <bookViews>
    <workbookView xWindow="-120" yWindow="-120" windowWidth="20730" windowHeight="11040" tabRatio="589" xr2:uid="{00000000-000D-0000-FFFF-FFFF00000000}"/>
  </bookViews>
  <sheets>
    <sheet name="Junio de 2024" sheetId="5" r:id="rId1"/>
    <sheet name="4112 Gobierno" sheetId="42" r:id="rId2"/>
    <sheet name="4121 Juridica" sheetId="43" r:id="rId3"/>
    <sheet name="4123 Control Interno" sheetId="45" r:id="rId4"/>
    <sheet name="4124 D Control Disciplinario" sheetId="46" r:id="rId5"/>
    <sheet name="4131 Hacienda" sheetId="47" r:id="rId6"/>
    <sheet name="4132 Planeacion" sheetId="41" r:id="rId7"/>
    <sheet name="4133 Dagma" sheetId="48" r:id="rId8"/>
    <sheet name="4134 DATIC" sheetId="59" r:id="rId9"/>
    <sheet name="4135 Contratacion" sheetId="60" r:id="rId10"/>
    <sheet name="4137 DADII" sheetId="61" r:id="rId11"/>
    <sheet name="4143 Educacion" sheetId="49" r:id="rId12"/>
    <sheet name="4145 Salud" sheetId="50" r:id="rId13"/>
    <sheet name="4146 Bienestar Social" sheetId="51" r:id="rId14"/>
    <sheet name="4147 Vivienda" sheetId="52" r:id="rId15"/>
    <sheet name="4148 Cultura" sheetId="53" r:id="rId16"/>
    <sheet name="4151 Infraestructura" sheetId="54" r:id="rId17"/>
    <sheet name="4152 Movilidad" sheetId="55" r:id="rId18"/>
    <sheet name="4161 Seguridad y Justicia" sheetId="56" r:id="rId19"/>
    <sheet name="4162 Deporte" sheetId="57" r:id="rId20"/>
    <sheet name="4163 Riesgo" sheetId="58" r:id="rId21"/>
    <sheet name="4164 Paz y CC" sheetId="62" r:id="rId22"/>
    <sheet name="4171 Desarrollo Eco" sheetId="63" r:id="rId23"/>
    <sheet name="4172 Turismo" sheetId="64" r:id="rId24"/>
    <sheet name="4173 Desarrollo Territorial" sheetId="65" r:id="rId25"/>
    <sheet name="4181 Bienes y Servicios" sheetId="66" r:id="rId26"/>
    <sheet name="4182 Servicios Publicos" sheetId="67" r:id="rId27"/>
    <sheet name="4181 Protección Animal" sheetId="77" r:id="rId28"/>
  </sheets>
  <definedNames>
    <definedName name="_xlnm._FilterDatabase" localSheetId="1" hidden="1">'4112 Gobierno'!$A$5:$Y$6</definedName>
    <definedName name="_xlnm._FilterDatabase" localSheetId="2" hidden="1">'4121 Juridica'!$A$5:$Y$6</definedName>
    <definedName name="_xlnm._FilterDatabase" localSheetId="3" hidden="1">'4123 Control Interno'!$A$5:$Y$6</definedName>
    <definedName name="_xlnm._FilterDatabase" localSheetId="4" hidden="1">'4124 D Control Disciplinario'!$A$5:$Y$6</definedName>
    <definedName name="_xlnm._FilterDatabase" localSheetId="5" hidden="1">'4131 Hacienda'!$A$5:$Y$6</definedName>
    <definedName name="_xlnm._FilterDatabase" localSheetId="6" hidden="1">'4132 Planeacion'!$A$5:$Y$6</definedName>
    <definedName name="_xlnm._FilterDatabase" localSheetId="7" hidden="1">'4133 Dagma'!$A$5:$Y$6</definedName>
    <definedName name="_xlnm._FilterDatabase" localSheetId="8" hidden="1">'4134 DATIC'!$A$5:$Y$6</definedName>
    <definedName name="_xlnm._FilterDatabase" localSheetId="9" hidden="1">'4135 Contratacion'!$A$5:$Y$6</definedName>
    <definedName name="_xlnm._FilterDatabase" localSheetId="10" hidden="1">'4137 DADII'!$A$5:$Y$6</definedName>
    <definedName name="_xlnm._FilterDatabase" localSheetId="11" hidden="1">'4143 Educacion'!$A$5:$Y$6</definedName>
    <definedName name="_xlnm._FilterDatabase" localSheetId="12" hidden="1">'4145 Salud'!$A$5:$Y$6</definedName>
    <definedName name="_xlnm._FilterDatabase" localSheetId="13" hidden="1">'4146 Bienestar Social'!$A$5:$Y$6</definedName>
    <definedName name="_xlnm._FilterDatabase" localSheetId="14" hidden="1">'4147 Vivienda'!$A$5:$Y$68</definedName>
    <definedName name="_xlnm._FilterDatabase" localSheetId="15" hidden="1">'4148 Cultura'!$A$4:$Y$4</definedName>
    <definedName name="_xlnm._FilterDatabase" localSheetId="16" hidden="1">'4151 Infraestructura'!$A$5:$Y$6</definedName>
    <definedName name="_xlnm._FilterDatabase" localSheetId="17" hidden="1">'4152 Movilidad'!$A$5:$Y$67</definedName>
    <definedName name="_xlnm._FilterDatabase" localSheetId="18" hidden="1">'4161 Seguridad y Justicia'!$A$5:$Y$149</definedName>
    <definedName name="_xlnm._FilterDatabase" localSheetId="19" hidden="1">'4162 Deporte'!$A$5:$Y$6</definedName>
    <definedName name="_xlnm._FilterDatabase" localSheetId="20" hidden="1">'4163 Riesgo'!$A$5:$Y$6</definedName>
    <definedName name="_xlnm._FilterDatabase" localSheetId="21" hidden="1">'4164 Paz y CC'!$A$5:$Y$6</definedName>
    <definedName name="_xlnm._FilterDatabase" localSheetId="22" hidden="1">'4171 Desarrollo Eco'!$A$5:$Y$149</definedName>
    <definedName name="_xlnm._FilterDatabase" localSheetId="23" hidden="1">'4172 Turismo'!$A$5:$Y$6</definedName>
    <definedName name="_xlnm._FilterDatabase" localSheetId="24" hidden="1">'4173 Desarrollo Territorial'!$A$5:$Y$6</definedName>
    <definedName name="_xlnm._FilterDatabase" localSheetId="25" hidden="1">'4181 Bienes y Servicios'!$A$5:$Y$6</definedName>
    <definedName name="_xlnm._FilterDatabase" localSheetId="27" hidden="1">'4181 Protección Animal'!$A$5:$Y$6</definedName>
    <definedName name="_xlnm._FilterDatabase" localSheetId="26" hidden="1">'4182 Servicios Publicos'!$A$5:$Y$6</definedName>
    <definedName name="_xlchart.v1.0" hidden="1">'Junio de 2024'!$B$10:$B$36</definedName>
    <definedName name="_xlchart.v1.1" hidden="1">'Junio de 2024'!$E$10:$E$35</definedName>
    <definedName name="_xlchart.v1.2" hidden="1">'Junio de 2024'!$J$10:$J$36</definedName>
    <definedName name="_xlnm.Print_Area" localSheetId="14">'4147 Vivienda'!$A$2:$Y$6</definedName>
    <definedName name="datos">#N/A</definedName>
    <definedName name="_xlnm.Print_Titles" localSheetId="1">'4112 Gobierno'!$2:$6</definedName>
    <definedName name="_xlnm.Print_Titles" localSheetId="2">'4121 Juridica'!$2:$6</definedName>
    <definedName name="_xlnm.Print_Titles" localSheetId="3">'4123 Control Interno'!$2:$6</definedName>
    <definedName name="_xlnm.Print_Titles" localSheetId="4">'4124 D Control Disciplinario'!$2:$6</definedName>
    <definedName name="_xlnm.Print_Titles" localSheetId="5">'4131 Hacienda'!$2:$6</definedName>
    <definedName name="_xlnm.Print_Titles" localSheetId="6">'4132 Planeacion'!$2:$6</definedName>
    <definedName name="_xlnm.Print_Titles" localSheetId="7">'4133 Dagma'!$2:$6</definedName>
    <definedName name="_xlnm.Print_Titles" localSheetId="8">'4134 DATIC'!$2:$6</definedName>
    <definedName name="_xlnm.Print_Titles" localSheetId="9">'4135 Contratacion'!$2:$6</definedName>
    <definedName name="_xlnm.Print_Titles" localSheetId="10">'4137 DADII'!$2:$6</definedName>
    <definedName name="_xlnm.Print_Titles" localSheetId="11">'4143 Educacion'!$2:$5</definedName>
    <definedName name="_xlnm.Print_Titles" localSheetId="12">'4145 Salud'!$2:$6</definedName>
    <definedName name="_xlnm.Print_Titles" localSheetId="13">'4146 Bienestar Social'!$2:$6</definedName>
    <definedName name="_xlnm.Print_Titles" localSheetId="14">'4147 Vivienda'!$2:$6</definedName>
    <definedName name="_xlnm.Print_Titles" localSheetId="15">'4148 Cultura'!$2:$4</definedName>
    <definedName name="_xlnm.Print_Titles" localSheetId="16">'4151 Infraestructura'!$2:$6</definedName>
    <definedName name="_xlnm.Print_Titles" localSheetId="17">'4152 Movilidad'!$2:$6</definedName>
    <definedName name="_xlnm.Print_Titles" localSheetId="18">'4161 Seguridad y Justicia'!$2:$6</definedName>
    <definedName name="_xlnm.Print_Titles" localSheetId="19">'4162 Deporte'!$2:$6</definedName>
    <definedName name="_xlnm.Print_Titles" localSheetId="20">'4163 Riesgo'!$2:$6</definedName>
    <definedName name="_xlnm.Print_Titles" localSheetId="21">'4164 Paz y CC'!$2:$6</definedName>
    <definedName name="_xlnm.Print_Titles" localSheetId="22">'4171 Desarrollo Eco'!$2:$6</definedName>
    <definedName name="_xlnm.Print_Titles" localSheetId="23">'4172 Turismo'!$2:$6</definedName>
    <definedName name="_xlnm.Print_Titles" localSheetId="24">'4173 Desarrollo Territorial'!$2:$6</definedName>
    <definedName name="_xlnm.Print_Titles" localSheetId="25">'4181 Bienes y Servicios'!$2:$6</definedName>
    <definedName name="_xlnm.Print_Titles" localSheetId="27">'4181 Protección Animal'!$2:$6</definedName>
    <definedName name="_xlnm.Print_Titles" localSheetId="26">'4182 Servicios Publicos'!$2:$6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5" l="1"/>
  <c r="D35" i="5"/>
  <c r="C35" i="5"/>
  <c r="C112" i="67"/>
  <c r="E34" i="5"/>
  <c r="D34" i="5"/>
  <c r="C34"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C224" i="50"/>
  <c r="E20" i="5"/>
  <c r="D20" i="5"/>
  <c r="C20" i="5"/>
  <c r="O50" i="59"/>
  <c r="E15" i="5"/>
  <c r="D15" i="5"/>
  <c r="C15" i="5"/>
  <c r="E14" i="5"/>
  <c r="D14" i="5"/>
  <c r="C14" i="5"/>
  <c r="C51" i="47"/>
  <c r="E10" i="5"/>
  <c r="D10" i="5"/>
  <c r="C10" i="5"/>
  <c r="U110" i="67" l="1"/>
  <c r="T110" i="67"/>
  <c r="U109" i="67"/>
  <c r="T109" i="67"/>
  <c r="S108" i="67"/>
  <c r="R108" i="67"/>
  <c r="T108" i="67" s="1"/>
  <c r="Q108" i="67"/>
  <c r="P108" i="67"/>
  <c r="O108" i="67"/>
  <c r="N108" i="67"/>
  <c r="M108" i="67"/>
  <c r="L108" i="67"/>
  <c r="K108" i="67"/>
  <c r="H108" i="67"/>
  <c r="U103" i="67"/>
  <c r="T103" i="67"/>
  <c r="S102" i="67"/>
  <c r="R102" i="67"/>
  <c r="U102" i="67" s="1"/>
  <c r="Q102" i="67"/>
  <c r="O102" i="67" s="1"/>
  <c r="P102" i="67"/>
  <c r="N102" i="67"/>
  <c r="M102" i="67"/>
  <c r="L102" i="67"/>
  <c r="K102" i="67"/>
  <c r="H102" i="67"/>
  <c r="U100" i="67"/>
  <c r="T100" i="67"/>
  <c r="S99" i="67"/>
  <c r="R99" i="67"/>
  <c r="U99" i="67" s="1"/>
  <c r="Q99" i="67"/>
  <c r="O100" i="67" s="1"/>
  <c r="O99" i="67" s="1"/>
  <c r="P99" i="67"/>
  <c r="N99" i="67"/>
  <c r="M99" i="67"/>
  <c r="L99" i="67"/>
  <c r="K99" i="67"/>
  <c r="H99" i="67"/>
  <c r="U95" i="67"/>
  <c r="T95" i="67"/>
  <c r="U94" i="67"/>
  <c r="S94" i="67"/>
  <c r="R94" i="67"/>
  <c r="Q94" i="67"/>
  <c r="T94" i="67" s="1"/>
  <c r="P94" i="67"/>
  <c r="N94" i="67"/>
  <c r="O94" i="67" s="1"/>
  <c r="L94" i="67"/>
  <c r="H94" i="67"/>
  <c r="U92" i="67"/>
  <c r="T92" i="67"/>
  <c r="S91" i="67"/>
  <c r="R91" i="67"/>
  <c r="U91" i="67" s="1"/>
  <c r="Q91" i="67"/>
  <c r="O91" i="67" s="1"/>
  <c r="P91" i="67"/>
  <c r="N91" i="67"/>
  <c r="M91" i="67"/>
  <c r="L91" i="67"/>
  <c r="K91" i="67"/>
  <c r="U89" i="67"/>
  <c r="T89" i="67"/>
  <c r="S88" i="67"/>
  <c r="R88" i="67"/>
  <c r="U88" i="67" s="1"/>
  <c r="Q88" i="67"/>
  <c r="T88" i="67" s="1"/>
  <c r="P88" i="67"/>
  <c r="N88" i="67"/>
  <c r="O88" i="67" s="1"/>
  <c r="M88" i="67"/>
  <c r="L88" i="67"/>
  <c r="K88" i="67"/>
  <c r="H88" i="67"/>
  <c r="U86" i="67"/>
  <c r="T86" i="67"/>
  <c r="O86" i="67"/>
  <c r="U85" i="67"/>
  <c r="S85" i="67"/>
  <c r="R85" i="67"/>
  <c r="Q85" i="67"/>
  <c r="T85" i="67" s="1"/>
  <c r="P85" i="67"/>
  <c r="N85" i="67"/>
  <c r="M85" i="67"/>
  <c r="L85" i="67"/>
  <c r="U84" i="67"/>
  <c r="T84" i="67"/>
  <c r="S83" i="67"/>
  <c r="R83" i="67"/>
  <c r="U83" i="67" s="1"/>
  <c r="Q83" i="67"/>
  <c r="O83" i="67" s="1"/>
  <c r="P83" i="67"/>
  <c r="N83" i="67"/>
  <c r="M83" i="67"/>
  <c r="L83" i="67"/>
  <c r="K83" i="67"/>
  <c r="H83" i="67"/>
  <c r="U81" i="67"/>
  <c r="T81" i="67"/>
  <c r="U80" i="67"/>
  <c r="T80" i="67"/>
  <c r="H80" i="67"/>
  <c r="S79" i="67"/>
  <c r="R79" i="67"/>
  <c r="U79" i="67" s="1"/>
  <c r="Q79" i="67"/>
  <c r="O79" i="67" s="1"/>
  <c r="P79" i="67"/>
  <c r="N79" i="67"/>
  <c r="M79" i="67"/>
  <c r="L79" i="67"/>
  <c r="H79" i="67"/>
  <c r="U77" i="67"/>
  <c r="T77" i="67"/>
  <c r="S76" i="67"/>
  <c r="R76" i="67"/>
  <c r="U76" i="67" s="1"/>
  <c r="Q76" i="67"/>
  <c r="T76" i="67" s="1"/>
  <c r="P76" i="67"/>
  <c r="N76" i="67"/>
  <c r="O76" i="67" s="1"/>
  <c r="M76" i="67"/>
  <c r="L76" i="67"/>
  <c r="K76" i="67"/>
  <c r="H76" i="67"/>
  <c r="U75" i="67"/>
  <c r="T75" i="67"/>
  <c r="U74" i="67"/>
  <c r="T74" i="67"/>
  <c r="S73" i="67"/>
  <c r="R73" i="67"/>
  <c r="U73" i="67" s="1"/>
  <c r="Q73" i="67"/>
  <c r="T73" i="67" s="1"/>
  <c r="P73" i="67"/>
  <c r="N73" i="67"/>
  <c r="O73" i="67" s="1"/>
  <c r="M73" i="67"/>
  <c r="L73" i="67"/>
  <c r="K73" i="67"/>
  <c r="H73" i="67"/>
  <c r="U71" i="67"/>
  <c r="T71" i="67"/>
  <c r="U70" i="67"/>
  <c r="T70" i="67"/>
  <c r="S70" i="67"/>
  <c r="R70" i="67"/>
  <c r="Q70" i="67"/>
  <c r="O70" i="67" s="1"/>
  <c r="P70" i="67"/>
  <c r="N70" i="67"/>
  <c r="M70" i="67"/>
  <c r="L70" i="67"/>
  <c r="H70" i="67"/>
  <c r="U69" i="67"/>
  <c r="T69" i="67"/>
  <c r="S68" i="67"/>
  <c r="R68" i="67"/>
  <c r="U68" i="67" s="1"/>
  <c r="Q68" i="67"/>
  <c r="O68" i="67" s="1"/>
  <c r="P68" i="67"/>
  <c r="N68" i="67"/>
  <c r="M68" i="67"/>
  <c r="L68" i="67"/>
  <c r="H68" i="67"/>
  <c r="U63" i="67"/>
  <c r="U62" i="67" s="1"/>
  <c r="T63" i="67"/>
  <c r="T62" i="67" s="1"/>
  <c r="S62" i="67"/>
  <c r="R62" i="67"/>
  <c r="Q62" i="67"/>
  <c r="P62" i="67"/>
  <c r="N62" i="67"/>
  <c r="O62" i="67" s="1"/>
  <c r="L62" i="67"/>
  <c r="K62" i="67"/>
  <c r="H62" i="67"/>
  <c r="U58" i="67"/>
  <c r="T58" i="67"/>
  <c r="U57" i="67"/>
  <c r="T57" i="67"/>
  <c r="S57" i="67"/>
  <c r="R57" i="67"/>
  <c r="Q57" i="67"/>
  <c r="P57" i="67"/>
  <c r="O57" i="67"/>
  <c r="N57" i="67"/>
  <c r="M57" i="67"/>
  <c r="K57" i="67"/>
  <c r="H57" i="67"/>
  <c r="U56" i="67"/>
  <c r="T56" i="67"/>
  <c r="S55" i="67"/>
  <c r="R55" i="67"/>
  <c r="U55" i="67" s="1"/>
  <c r="Q55" i="67"/>
  <c r="T55" i="67" s="1"/>
  <c r="P55" i="67"/>
  <c r="O55" i="67"/>
  <c r="N55" i="67"/>
  <c r="M55" i="67"/>
  <c r="L55" i="67"/>
  <c r="K55" i="67"/>
  <c r="H55" i="67"/>
  <c r="U54" i="67"/>
  <c r="T54" i="67"/>
  <c r="S53" i="67"/>
  <c r="R53" i="67"/>
  <c r="U53" i="67" s="1"/>
  <c r="Q53" i="67"/>
  <c r="T53" i="67" s="1"/>
  <c r="P53" i="67"/>
  <c r="O53" i="67"/>
  <c r="N53" i="67"/>
  <c r="M53" i="67"/>
  <c r="L53" i="67"/>
  <c r="K53" i="67"/>
  <c r="H53" i="67"/>
  <c r="U51" i="67"/>
  <c r="T51" i="67"/>
  <c r="U50" i="67"/>
  <c r="T50" i="67"/>
  <c r="S50" i="67"/>
  <c r="R50" i="67"/>
  <c r="Q50" i="67"/>
  <c r="P50" i="67"/>
  <c r="N50" i="67"/>
  <c r="M50" i="67"/>
  <c r="L50" i="67"/>
  <c r="K50" i="67"/>
  <c r="H50" i="67"/>
  <c r="U48" i="67"/>
  <c r="T48" i="67"/>
  <c r="S47" i="67"/>
  <c r="R47" i="67"/>
  <c r="U47" i="67" s="1"/>
  <c r="Q47" i="67"/>
  <c r="T47" i="67" s="1"/>
  <c r="P47" i="67"/>
  <c r="O47" i="67"/>
  <c r="N47" i="67"/>
  <c r="M47" i="67"/>
  <c r="L47" i="67"/>
  <c r="K47" i="67"/>
  <c r="H47" i="67"/>
  <c r="U45" i="67"/>
  <c r="T45" i="67"/>
  <c r="S44" i="67"/>
  <c r="R44" i="67"/>
  <c r="U44" i="67" s="1"/>
  <c r="Q44" i="67"/>
  <c r="T44" i="67" s="1"/>
  <c r="P44" i="67"/>
  <c r="O44" i="67"/>
  <c r="N44" i="67"/>
  <c r="M44" i="67"/>
  <c r="L44" i="67"/>
  <c r="K44" i="67"/>
  <c r="H44" i="67"/>
  <c r="U39" i="67"/>
  <c r="T39" i="67"/>
  <c r="U38" i="67"/>
  <c r="T38" i="67"/>
  <c r="H38" i="67"/>
  <c r="S37" i="67"/>
  <c r="R37" i="67"/>
  <c r="U37" i="67" s="1"/>
  <c r="Q37" i="67"/>
  <c r="T37" i="67" s="1"/>
  <c r="P37" i="67"/>
  <c r="O37" i="67"/>
  <c r="N37" i="67"/>
  <c r="M37" i="67"/>
  <c r="L37" i="67"/>
  <c r="K37" i="67"/>
  <c r="H37" i="67"/>
  <c r="U32" i="67"/>
  <c r="T32" i="67"/>
  <c r="U31" i="67"/>
  <c r="T31" i="67"/>
  <c r="S30" i="67"/>
  <c r="R30" i="67"/>
  <c r="U30" i="67" s="1"/>
  <c r="Q30" i="67"/>
  <c r="O30" i="67" s="1"/>
  <c r="P30" i="67"/>
  <c r="N30" i="67"/>
  <c r="M30" i="67"/>
  <c r="L30" i="67"/>
  <c r="K30" i="67"/>
  <c r="H30" i="67"/>
  <c r="U25" i="67"/>
  <c r="T25" i="67"/>
  <c r="O25" i="67"/>
  <c r="S24" i="67"/>
  <c r="R24" i="67"/>
  <c r="U24" i="67" s="1"/>
  <c r="Q24" i="67"/>
  <c r="T24" i="67" s="1"/>
  <c r="P24" i="67"/>
  <c r="N24" i="67"/>
  <c r="M24" i="67"/>
  <c r="L24" i="67"/>
  <c r="U23" i="67"/>
  <c r="T23" i="67"/>
  <c r="U22" i="67"/>
  <c r="T22" i="67"/>
  <c r="U21" i="67"/>
  <c r="T21" i="67"/>
  <c r="S21" i="67"/>
  <c r="R21" i="67"/>
  <c r="Q21" i="67"/>
  <c r="O21" i="67" s="1"/>
  <c r="P21" i="67"/>
  <c r="N21" i="67"/>
  <c r="M21" i="67"/>
  <c r="L21" i="67"/>
  <c r="K21" i="67"/>
  <c r="H21" i="67"/>
  <c r="U19" i="67"/>
  <c r="T19" i="67"/>
  <c r="U18" i="67"/>
  <c r="T18" i="67"/>
  <c r="H18" i="67"/>
  <c r="H17" i="67" s="1"/>
  <c r="U17" i="67"/>
  <c r="S17" i="67"/>
  <c r="R17" i="67"/>
  <c r="Q17" i="67"/>
  <c r="T17" i="67" s="1"/>
  <c r="P17" i="67"/>
  <c r="N17" i="67"/>
  <c r="O17" i="67" s="1"/>
  <c r="M17" i="67"/>
  <c r="L17" i="67"/>
  <c r="K17" i="67"/>
  <c r="U15" i="67"/>
  <c r="T15" i="67"/>
  <c r="T14" i="67"/>
  <c r="S14" i="67"/>
  <c r="U14" i="67" s="1"/>
  <c r="R14" i="67"/>
  <c r="Q14" i="67"/>
  <c r="P14" i="67"/>
  <c r="O14" i="67"/>
  <c r="N14" i="67"/>
  <c r="M14" i="67"/>
  <c r="L14" i="67"/>
  <c r="K14" i="67"/>
  <c r="H14" i="67"/>
  <c r="U13" i="67"/>
  <c r="T13" i="67"/>
  <c r="U12" i="67"/>
  <c r="T12" i="67"/>
  <c r="T11" i="67"/>
  <c r="S11" i="67"/>
  <c r="S112" i="67" s="1"/>
  <c r="R11" i="67"/>
  <c r="R112" i="67" s="1"/>
  <c r="Q11" i="67"/>
  <c r="Q112" i="67" s="1"/>
  <c r="P11" i="67"/>
  <c r="P112" i="67" s="1"/>
  <c r="O11" i="67"/>
  <c r="N11" i="67"/>
  <c r="M11" i="67"/>
  <c r="L11" i="67"/>
  <c r="K11" i="67"/>
  <c r="H11" i="67"/>
  <c r="O113" i="67" l="1"/>
  <c r="O112" i="67"/>
  <c r="G112" i="67"/>
  <c r="U11" i="67"/>
  <c r="T68" i="67"/>
  <c r="T79" i="67"/>
  <c r="T91" i="67"/>
  <c r="U108" i="67"/>
  <c r="T30" i="67"/>
  <c r="T83" i="67"/>
  <c r="T102" i="67"/>
  <c r="T99" i="67"/>
  <c r="C86" i="54" l="1"/>
  <c r="U84" i="54"/>
  <c r="T84" i="54"/>
  <c r="N84" i="54"/>
  <c r="O84" i="54" s="1"/>
  <c r="H84" i="54"/>
  <c r="S83" i="54"/>
  <c r="R83" i="54"/>
  <c r="U83" i="54" s="1"/>
  <c r="Q83" i="54"/>
  <c r="T83" i="54" s="1"/>
  <c r="P83" i="54"/>
  <c r="M83" i="54"/>
  <c r="L83" i="54"/>
  <c r="K83" i="54"/>
  <c r="H83" i="54"/>
  <c r="K82" i="54"/>
  <c r="H82" i="54"/>
  <c r="U81" i="54"/>
  <c r="T81" i="54"/>
  <c r="N81" i="54"/>
  <c r="O81" i="54" s="1"/>
  <c r="H81" i="54"/>
  <c r="H80" i="54" s="1"/>
  <c r="U80" i="54"/>
  <c r="Q80" i="54"/>
  <c r="T80" i="54" s="1"/>
  <c r="P80" i="54"/>
  <c r="L80" i="54"/>
  <c r="K80" i="54"/>
  <c r="U79" i="54"/>
  <c r="T79" i="54"/>
  <c r="N79" i="54"/>
  <c r="O79" i="54" s="1"/>
  <c r="H79" i="54"/>
  <c r="H78" i="54" s="1"/>
  <c r="H77" i="54" s="1"/>
  <c r="S78" i="54"/>
  <c r="R78" i="54"/>
  <c r="U78" i="54" s="1"/>
  <c r="Q78" i="54"/>
  <c r="T78" i="54" s="1"/>
  <c r="P78" i="54"/>
  <c r="L78" i="54"/>
  <c r="K78" i="54"/>
  <c r="K77" i="54" s="1"/>
  <c r="U76" i="54"/>
  <c r="T76" i="54"/>
  <c r="N76" i="54"/>
  <c r="O76" i="54" s="1"/>
  <c r="H76" i="54"/>
  <c r="H75" i="54" s="1"/>
  <c r="H74" i="54" s="1"/>
  <c r="S75" i="54"/>
  <c r="R75" i="54"/>
  <c r="U75" i="54" s="1"/>
  <c r="Q75" i="54"/>
  <c r="T75" i="54" s="1"/>
  <c r="P75" i="54"/>
  <c r="L75" i="54"/>
  <c r="K75" i="54"/>
  <c r="K74" i="54" s="1"/>
  <c r="U73" i="54"/>
  <c r="T73" i="54"/>
  <c r="N73" i="54"/>
  <c r="O73" i="54" s="1"/>
  <c r="H73" i="54"/>
  <c r="H72" i="54" s="1"/>
  <c r="H71" i="54" s="1"/>
  <c r="S72" i="54"/>
  <c r="R72" i="54"/>
  <c r="U72" i="54" s="1"/>
  <c r="Q72" i="54"/>
  <c r="T72" i="54" s="1"/>
  <c r="P72" i="54"/>
  <c r="L72" i="54"/>
  <c r="K72" i="54"/>
  <c r="K71" i="54" s="1"/>
  <c r="U70" i="54"/>
  <c r="T70" i="54"/>
  <c r="N70" i="54"/>
  <c r="H70" i="54"/>
  <c r="H68" i="54" s="1"/>
  <c r="U69" i="54"/>
  <c r="T69" i="54"/>
  <c r="O69" i="54"/>
  <c r="N69" i="54"/>
  <c r="H69" i="54"/>
  <c r="S68" i="54"/>
  <c r="R68" i="54"/>
  <c r="U68" i="54" s="1"/>
  <c r="Q68" i="54"/>
  <c r="P68" i="54"/>
  <c r="M68" i="54"/>
  <c r="L68" i="54"/>
  <c r="K68" i="54"/>
  <c r="U67" i="54"/>
  <c r="T67" i="54"/>
  <c r="N67" i="54"/>
  <c r="O67" i="54" s="1"/>
  <c r="H67" i="54"/>
  <c r="S66" i="54"/>
  <c r="R66" i="54"/>
  <c r="U66" i="54" s="1"/>
  <c r="Q66" i="54"/>
  <c r="T66" i="54" s="1"/>
  <c r="P66" i="54"/>
  <c r="L66" i="54"/>
  <c r="K66" i="54"/>
  <c r="H66" i="54"/>
  <c r="U65" i="54"/>
  <c r="T65" i="54"/>
  <c r="N65" i="54"/>
  <c r="O65" i="54" s="1"/>
  <c r="H65" i="54"/>
  <c r="S64" i="54"/>
  <c r="R64" i="54"/>
  <c r="Q64" i="54"/>
  <c r="P64" i="54"/>
  <c r="L64" i="54"/>
  <c r="K64" i="54"/>
  <c r="H64" i="54"/>
  <c r="U63" i="54"/>
  <c r="T63" i="54"/>
  <c r="N63" i="54"/>
  <c r="O63" i="54" s="1"/>
  <c r="H63" i="54"/>
  <c r="H62" i="54" s="1"/>
  <c r="U62" i="54"/>
  <c r="Q62" i="54"/>
  <c r="T62" i="54" s="1"/>
  <c r="P62" i="54"/>
  <c r="L62" i="54"/>
  <c r="K62" i="54"/>
  <c r="U61" i="54"/>
  <c r="T61" i="54"/>
  <c r="N61" i="54"/>
  <c r="O61" i="54" s="1"/>
  <c r="H61" i="54"/>
  <c r="S60" i="54"/>
  <c r="R60" i="54"/>
  <c r="U60" i="54" s="1"/>
  <c r="Q60" i="54"/>
  <c r="T60" i="54" s="1"/>
  <c r="P60" i="54"/>
  <c r="L60" i="54"/>
  <c r="K60" i="54"/>
  <c r="H60" i="54"/>
  <c r="U59" i="54"/>
  <c r="T59" i="54"/>
  <c r="N59" i="54"/>
  <c r="O59" i="54" s="1"/>
  <c r="H59" i="54"/>
  <c r="H58" i="54" s="1"/>
  <c r="Q58" i="54"/>
  <c r="P58" i="54"/>
  <c r="L58" i="54"/>
  <c r="K58" i="54"/>
  <c r="U57" i="54"/>
  <c r="T57" i="54"/>
  <c r="N57" i="54"/>
  <c r="O57" i="54" s="1"/>
  <c r="U56" i="54"/>
  <c r="Q56" i="54"/>
  <c r="T56" i="54" s="1"/>
  <c r="P56" i="54"/>
  <c r="L56" i="54"/>
  <c r="K56" i="54"/>
  <c r="H56" i="54"/>
  <c r="U54" i="54"/>
  <c r="T54" i="54"/>
  <c r="N54" i="54"/>
  <c r="O54" i="54" s="1"/>
  <c r="S53" i="54"/>
  <c r="R53" i="54"/>
  <c r="Q53" i="54"/>
  <c r="P53" i="54"/>
  <c r="L53" i="54"/>
  <c r="K53" i="54"/>
  <c r="H53" i="54"/>
  <c r="U52" i="54"/>
  <c r="T52" i="54"/>
  <c r="N52" i="54"/>
  <c r="O52" i="54" s="1"/>
  <c r="H52" i="54"/>
  <c r="H51" i="54" s="1"/>
  <c r="S51" i="54"/>
  <c r="R51" i="54"/>
  <c r="U51" i="54" s="1"/>
  <c r="Q51" i="54"/>
  <c r="T51" i="54" s="1"/>
  <c r="P51" i="54"/>
  <c r="L51" i="54"/>
  <c r="K51" i="54"/>
  <c r="U50" i="54"/>
  <c r="T50" i="54"/>
  <c r="N50" i="54"/>
  <c r="O50" i="54" s="1"/>
  <c r="H50" i="54"/>
  <c r="U49" i="54"/>
  <c r="T49" i="54"/>
  <c r="S49" i="54"/>
  <c r="R49" i="54"/>
  <c r="Q49" i="54"/>
  <c r="P49" i="54"/>
  <c r="L49" i="54"/>
  <c r="K49" i="54"/>
  <c r="H49" i="54"/>
  <c r="U48" i="54"/>
  <c r="T48" i="54"/>
  <c r="N48" i="54"/>
  <c r="H48" i="54"/>
  <c r="U47" i="54"/>
  <c r="T47" i="54"/>
  <c r="O47" i="54"/>
  <c r="N47" i="54"/>
  <c r="H47" i="54"/>
  <c r="H46" i="54" s="1"/>
  <c r="S46" i="54"/>
  <c r="R46" i="54"/>
  <c r="U46" i="54" s="1"/>
  <c r="Q46" i="54"/>
  <c r="T46" i="54" s="1"/>
  <c r="P46" i="54"/>
  <c r="L46" i="54"/>
  <c r="K46" i="54"/>
  <c r="U45" i="54"/>
  <c r="T45" i="54"/>
  <c r="N45" i="54"/>
  <c r="O45" i="54" s="1"/>
  <c r="H45" i="54"/>
  <c r="U44" i="54"/>
  <c r="T44" i="54"/>
  <c r="S44" i="54"/>
  <c r="R44" i="54"/>
  <c r="Q44" i="54"/>
  <c r="P44" i="54"/>
  <c r="L44" i="54"/>
  <c r="K44" i="54"/>
  <c r="H44" i="54"/>
  <c r="U43" i="54"/>
  <c r="T43" i="54"/>
  <c r="N43" i="54"/>
  <c r="H43" i="54"/>
  <c r="U42" i="54"/>
  <c r="T42" i="54"/>
  <c r="O42" i="54"/>
  <c r="N42" i="54"/>
  <c r="H42" i="54"/>
  <c r="H41" i="54" s="1"/>
  <c r="S41" i="54"/>
  <c r="R41" i="54"/>
  <c r="U41" i="54" s="1"/>
  <c r="Q41" i="54"/>
  <c r="T41" i="54" s="1"/>
  <c r="P41" i="54"/>
  <c r="L41" i="54"/>
  <c r="K41" i="54"/>
  <c r="U40" i="54"/>
  <c r="T40" i="54"/>
  <c r="N40" i="54"/>
  <c r="O40" i="54" s="1"/>
  <c r="H40" i="54"/>
  <c r="U39" i="54"/>
  <c r="T39" i="54"/>
  <c r="S39" i="54"/>
  <c r="R39" i="54"/>
  <c r="Q39" i="54"/>
  <c r="P39" i="54"/>
  <c r="L39" i="54"/>
  <c r="K39" i="54"/>
  <c r="H39" i="54"/>
  <c r="U38" i="54"/>
  <c r="T38" i="54"/>
  <c r="N38" i="54"/>
  <c r="O38" i="54" s="1"/>
  <c r="H38" i="54"/>
  <c r="S37" i="54"/>
  <c r="R37" i="54"/>
  <c r="U37" i="54" s="1"/>
  <c r="Q37" i="54"/>
  <c r="P37" i="54"/>
  <c r="L37" i="54"/>
  <c r="K37" i="54"/>
  <c r="H37" i="54"/>
  <c r="U36" i="54"/>
  <c r="T36" i="54"/>
  <c r="O36" i="54"/>
  <c r="N36" i="54"/>
  <c r="H36" i="54"/>
  <c r="S35" i="54"/>
  <c r="R35" i="54"/>
  <c r="U35" i="54" s="1"/>
  <c r="Q35" i="54"/>
  <c r="T35" i="54" s="1"/>
  <c r="P35" i="54"/>
  <c r="L35" i="54"/>
  <c r="K35" i="54"/>
  <c r="H35" i="54"/>
  <c r="U34" i="54"/>
  <c r="T34" i="54"/>
  <c r="N34" i="54"/>
  <c r="O34" i="54" s="1"/>
  <c r="H34" i="54"/>
  <c r="H33" i="54" s="1"/>
  <c r="S33" i="54"/>
  <c r="R33" i="54"/>
  <c r="U33" i="54" s="1"/>
  <c r="Q33" i="54"/>
  <c r="T33" i="54" s="1"/>
  <c r="P33" i="54"/>
  <c r="L33" i="54"/>
  <c r="K33" i="54"/>
  <c r="U30" i="54"/>
  <c r="T30" i="54"/>
  <c r="N30" i="54"/>
  <c r="U29" i="54"/>
  <c r="T29" i="54"/>
  <c r="N29" i="54"/>
  <c r="U28" i="54"/>
  <c r="T28" i="54"/>
  <c r="O28" i="54"/>
  <c r="N28" i="54"/>
  <c r="N27" i="54" s="1"/>
  <c r="U27" i="54"/>
  <c r="S27" i="54"/>
  <c r="R27" i="54"/>
  <c r="T27" i="54" s="1"/>
  <c r="Q27" i="54"/>
  <c r="P27" i="54"/>
  <c r="L27" i="54"/>
  <c r="H27" i="54"/>
  <c r="K26" i="54"/>
  <c r="H26" i="54"/>
  <c r="U24" i="54"/>
  <c r="T24" i="54"/>
  <c r="N24" i="54"/>
  <c r="O24" i="54" s="1"/>
  <c r="H24" i="54"/>
  <c r="U23" i="54"/>
  <c r="S23" i="54"/>
  <c r="R23" i="54"/>
  <c r="T23" i="54" s="1"/>
  <c r="Q23" i="54"/>
  <c r="P23" i="54"/>
  <c r="L23" i="54"/>
  <c r="K23" i="54"/>
  <c r="H23" i="54"/>
  <c r="K22" i="54"/>
  <c r="H22" i="54"/>
  <c r="U19" i="54"/>
  <c r="T19" i="54"/>
  <c r="N19" i="54"/>
  <c r="O19" i="54" s="1"/>
  <c r="H19" i="54"/>
  <c r="S18" i="54"/>
  <c r="R18" i="54"/>
  <c r="U18" i="54" s="1"/>
  <c r="Q18" i="54"/>
  <c r="P18" i="54"/>
  <c r="L18" i="54"/>
  <c r="K18" i="54"/>
  <c r="H18" i="54"/>
  <c r="K17" i="54"/>
  <c r="H17" i="54"/>
  <c r="U13" i="54"/>
  <c r="T13" i="54"/>
  <c r="K13" i="54"/>
  <c r="N13" i="54" s="1"/>
  <c r="H13" i="54"/>
  <c r="H11" i="54" s="1"/>
  <c r="H10" i="54" s="1"/>
  <c r="U12" i="54"/>
  <c r="T12" i="54"/>
  <c r="O12" i="54"/>
  <c r="O87" i="54" s="1"/>
  <c r="N12" i="54"/>
  <c r="H12" i="54"/>
  <c r="S11" i="54"/>
  <c r="S86" i="54" s="1"/>
  <c r="R11" i="54"/>
  <c r="R86" i="54" s="1"/>
  <c r="U86" i="54" s="1"/>
  <c r="Q11" i="54"/>
  <c r="T11" i="54" s="1"/>
  <c r="P11" i="54"/>
  <c r="P86" i="54" s="1"/>
  <c r="M11" i="54"/>
  <c r="L11" i="54"/>
  <c r="H32" i="54" l="1"/>
  <c r="H55" i="54"/>
  <c r="O86" i="54"/>
  <c r="G86" i="54" s="1"/>
  <c r="Q86" i="54"/>
  <c r="T86" i="54" s="1"/>
  <c r="K11" i="54"/>
  <c r="K10" i="54" s="1"/>
  <c r="U11" i="54"/>
  <c r="T18" i="54"/>
  <c r="T37" i="54"/>
  <c r="T68" i="54"/>
  <c r="C225" i="50" l="1"/>
  <c r="U223" i="50"/>
  <c r="T223" i="50"/>
  <c r="U222" i="50"/>
  <c r="T222" i="50"/>
  <c r="U221" i="50"/>
  <c r="T221" i="50"/>
  <c r="U220" i="50"/>
  <c r="T220" i="50"/>
  <c r="U219" i="50"/>
  <c r="T219" i="50"/>
  <c r="U218" i="50"/>
  <c r="T218" i="50"/>
  <c r="U217" i="50"/>
  <c r="T217" i="50"/>
  <c r="U216" i="50"/>
  <c r="T216" i="50"/>
  <c r="S216" i="50"/>
  <c r="S224" i="50" s="1"/>
  <c r="R216" i="50"/>
  <c r="Q216" i="50"/>
  <c r="P216" i="50"/>
  <c r="O216" i="50"/>
  <c r="N216" i="50"/>
  <c r="L216" i="50"/>
  <c r="K216" i="50"/>
  <c r="U211" i="50"/>
  <c r="T211" i="50"/>
  <c r="T210" i="50"/>
  <c r="S210" i="50"/>
  <c r="R210" i="50"/>
  <c r="R224" i="50" s="1"/>
  <c r="Q210" i="50"/>
  <c r="O210" i="50" s="1"/>
  <c r="P210" i="50"/>
  <c r="P224" i="50" s="1"/>
  <c r="N210" i="50"/>
  <c r="L210" i="50"/>
  <c r="K210" i="50"/>
  <c r="U208" i="50"/>
  <c r="T208" i="50"/>
  <c r="U207" i="50"/>
  <c r="T207" i="50"/>
  <c r="U206" i="50"/>
  <c r="T206" i="50"/>
  <c r="U205" i="50"/>
  <c r="T205" i="50"/>
  <c r="U204" i="50"/>
  <c r="T204" i="50"/>
  <c r="U203" i="50"/>
  <c r="T203" i="50"/>
  <c r="S203" i="50"/>
  <c r="R203" i="50"/>
  <c r="Q203" i="50"/>
  <c r="P203" i="50"/>
  <c r="O203" i="50"/>
  <c r="N203" i="50"/>
  <c r="L203" i="50"/>
  <c r="K203" i="50"/>
  <c r="U201" i="50"/>
  <c r="T201" i="50"/>
  <c r="U200" i="50"/>
  <c r="T200" i="50"/>
  <c r="U199" i="50"/>
  <c r="T199" i="50"/>
  <c r="U198" i="50"/>
  <c r="T198" i="50"/>
  <c r="S197" i="50"/>
  <c r="R197" i="50"/>
  <c r="U197" i="50" s="1"/>
  <c r="Q197" i="50"/>
  <c r="O197" i="50" s="1"/>
  <c r="P197" i="50"/>
  <c r="N197" i="50"/>
  <c r="L197" i="50"/>
  <c r="K197" i="50"/>
  <c r="U195" i="50"/>
  <c r="T195" i="50"/>
  <c r="U194" i="50"/>
  <c r="T194" i="50"/>
  <c r="U193" i="50"/>
  <c r="T193" i="50"/>
  <c r="U192" i="50"/>
  <c r="T192" i="50"/>
  <c r="T191" i="50"/>
  <c r="S191" i="50"/>
  <c r="R191" i="50"/>
  <c r="U191" i="50" s="1"/>
  <c r="Q191" i="50"/>
  <c r="O191" i="50" s="1"/>
  <c r="P191" i="50"/>
  <c r="N191" i="50"/>
  <c r="L191" i="50"/>
  <c r="K191" i="50"/>
  <c r="U189" i="50"/>
  <c r="T189" i="50"/>
  <c r="U188" i="50"/>
  <c r="T188" i="50"/>
  <c r="S188" i="50"/>
  <c r="R188" i="50"/>
  <c r="Q188" i="50"/>
  <c r="P188" i="50"/>
  <c r="O188" i="50"/>
  <c r="N188" i="50"/>
  <c r="L188" i="50"/>
  <c r="K188" i="50"/>
  <c r="U186" i="50"/>
  <c r="T186" i="50"/>
  <c r="U185" i="50"/>
  <c r="T185" i="50"/>
  <c r="U184" i="50"/>
  <c r="T184" i="50"/>
  <c r="U183" i="50"/>
  <c r="T183" i="50"/>
  <c r="U182" i="50"/>
  <c r="T182" i="50"/>
  <c r="U181" i="50"/>
  <c r="T181" i="50"/>
  <c r="S180" i="50"/>
  <c r="R180" i="50"/>
  <c r="U180" i="50" s="1"/>
  <c r="Q180" i="50"/>
  <c r="P180" i="50"/>
  <c r="N180" i="50"/>
  <c r="O180" i="50" s="1"/>
  <c r="L180" i="50"/>
  <c r="K180" i="50"/>
  <c r="U177" i="50"/>
  <c r="T177" i="50"/>
  <c r="S176" i="50"/>
  <c r="R176" i="50"/>
  <c r="U176" i="50" s="1"/>
  <c r="Q176" i="50"/>
  <c r="O176" i="50" s="1"/>
  <c r="P176" i="50"/>
  <c r="N176" i="50"/>
  <c r="L176" i="50"/>
  <c r="K176" i="50"/>
  <c r="U174" i="50"/>
  <c r="T174" i="50"/>
  <c r="U173" i="50"/>
  <c r="T173" i="50"/>
  <c r="U172" i="50"/>
  <c r="T172" i="50"/>
  <c r="U171" i="50"/>
  <c r="T171" i="50"/>
  <c r="U170" i="50"/>
  <c r="T170" i="50"/>
  <c r="S169" i="50"/>
  <c r="R169" i="50"/>
  <c r="U169" i="50" s="1"/>
  <c r="Q169" i="50"/>
  <c r="P169" i="50"/>
  <c r="N169" i="50"/>
  <c r="O169" i="50" s="1"/>
  <c r="U168" i="50"/>
  <c r="T168" i="50"/>
  <c r="U167" i="50"/>
  <c r="T167" i="50"/>
  <c r="S166" i="50"/>
  <c r="R166" i="50"/>
  <c r="U166" i="50" s="1"/>
  <c r="Q166" i="50"/>
  <c r="O166" i="50" s="1"/>
  <c r="P166" i="50"/>
  <c r="N166" i="50"/>
  <c r="L166" i="50"/>
  <c r="K166" i="50"/>
  <c r="U164" i="50"/>
  <c r="T164" i="50"/>
  <c r="U163" i="50"/>
  <c r="T163" i="50"/>
  <c r="U162" i="50"/>
  <c r="T162" i="50"/>
  <c r="S161" i="50"/>
  <c r="R161" i="50"/>
  <c r="U161" i="50" s="1"/>
  <c r="Q161" i="50"/>
  <c r="O161" i="50" s="1"/>
  <c r="P161" i="50"/>
  <c r="N161" i="50"/>
  <c r="L161" i="50"/>
  <c r="K161" i="50"/>
  <c r="U159" i="50"/>
  <c r="T159" i="50"/>
  <c r="U158" i="50"/>
  <c r="T158" i="50"/>
  <c r="U157" i="50"/>
  <c r="T157" i="50"/>
  <c r="S157" i="50"/>
  <c r="R157" i="50"/>
  <c r="Q157" i="50"/>
  <c r="P157" i="50"/>
  <c r="O157" i="50"/>
  <c r="N157" i="50"/>
  <c r="L157" i="50"/>
  <c r="K157" i="50"/>
  <c r="U155" i="50"/>
  <c r="T155" i="50"/>
  <c r="U154" i="50"/>
  <c r="T154" i="50"/>
  <c r="U153" i="50"/>
  <c r="T153" i="50"/>
  <c r="U152" i="50"/>
  <c r="T152" i="50"/>
  <c r="S151" i="50"/>
  <c r="R151" i="50"/>
  <c r="U151" i="50" s="1"/>
  <c r="Q151" i="50"/>
  <c r="O151" i="50" s="1"/>
  <c r="P151" i="50"/>
  <c r="N151" i="50"/>
  <c r="L151" i="50"/>
  <c r="K151" i="50"/>
  <c r="U148" i="50"/>
  <c r="T148" i="50"/>
  <c r="U147" i="50"/>
  <c r="T147" i="50"/>
  <c r="U146" i="50"/>
  <c r="T146" i="50"/>
  <c r="S145" i="50"/>
  <c r="R145" i="50"/>
  <c r="U145" i="50" s="1"/>
  <c r="Q145" i="50"/>
  <c r="O145" i="50" s="1"/>
  <c r="P145" i="50"/>
  <c r="N145" i="50"/>
  <c r="L145" i="50"/>
  <c r="K145" i="50"/>
  <c r="U143" i="50"/>
  <c r="T143" i="50"/>
  <c r="U142" i="50"/>
  <c r="T142" i="50"/>
  <c r="U141" i="50"/>
  <c r="T141" i="50"/>
  <c r="U140" i="50"/>
  <c r="T140" i="50"/>
  <c r="T139" i="50"/>
  <c r="S139" i="50"/>
  <c r="R139" i="50"/>
  <c r="U139" i="50" s="1"/>
  <c r="Q139" i="50"/>
  <c r="O139" i="50" s="1"/>
  <c r="P139" i="50"/>
  <c r="N139" i="50"/>
  <c r="L139" i="50"/>
  <c r="K139" i="50"/>
  <c r="U137" i="50"/>
  <c r="T137" i="50"/>
  <c r="U136" i="50"/>
  <c r="T136" i="50"/>
  <c r="S135" i="50"/>
  <c r="R135" i="50"/>
  <c r="U135" i="50" s="1"/>
  <c r="Q135" i="50"/>
  <c r="O135" i="50" s="1"/>
  <c r="P135" i="50"/>
  <c r="N135" i="50"/>
  <c r="L135" i="50"/>
  <c r="K135" i="50"/>
  <c r="U133" i="50"/>
  <c r="T133" i="50"/>
  <c r="U132" i="50"/>
  <c r="T132" i="50"/>
  <c r="U131" i="50"/>
  <c r="T131" i="50"/>
  <c r="S130" i="50"/>
  <c r="R130" i="50"/>
  <c r="U130" i="50" s="1"/>
  <c r="Q130" i="50"/>
  <c r="O130" i="50" s="1"/>
  <c r="P130" i="50"/>
  <c r="N130" i="50"/>
  <c r="L130" i="50"/>
  <c r="K130" i="50"/>
  <c r="U128" i="50"/>
  <c r="T128" i="50"/>
  <c r="U127" i="50"/>
  <c r="T127" i="50"/>
  <c r="U126" i="50"/>
  <c r="T126" i="50"/>
  <c r="S125" i="50"/>
  <c r="R125" i="50"/>
  <c r="U125" i="50" s="1"/>
  <c r="Q125" i="50"/>
  <c r="O125" i="50" s="1"/>
  <c r="P125" i="50"/>
  <c r="N125" i="50"/>
  <c r="L125" i="50"/>
  <c r="K125" i="50"/>
  <c r="U123" i="50"/>
  <c r="T123" i="50"/>
  <c r="U122" i="50"/>
  <c r="T122" i="50"/>
  <c r="U121" i="50"/>
  <c r="T121" i="50"/>
  <c r="S120" i="50"/>
  <c r="R120" i="50"/>
  <c r="U120" i="50" s="1"/>
  <c r="Q120" i="50"/>
  <c r="O120" i="50" s="1"/>
  <c r="P120" i="50"/>
  <c r="N120" i="50"/>
  <c r="L120" i="50"/>
  <c r="K120" i="50"/>
  <c r="U118" i="50"/>
  <c r="T118" i="50"/>
  <c r="U117" i="50"/>
  <c r="T117" i="50"/>
  <c r="U116" i="50"/>
  <c r="T116" i="50"/>
  <c r="S115" i="50"/>
  <c r="R115" i="50"/>
  <c r="U115" i="50" s="1"/>
  <c r="Q115" i="50"/>
  <c r="O115" i="50" s="1"/>
  <c r="P115" i="50"/>
  <c r="N115" i="50"/>
  <c r="L115" i="50"/>
  <c r="K115" i="50"/>
  <c r="U113" i="50"/>
  <c r="T113" i="50"/>
  <c r="U112" i="50"/>
  <c r="T112" i="50"/>
  <c r="U111" i="50"/>
  <c r="T111" i="50"/>
  <c r="S110" i="50"/>
  <c r="R110" i="50"/>
  <c r="U110" i="50" s="1"/>
  <c r="Q110" i="50"/>
  <c r="O110" i="50" s="1"/>
  <c r="P110" i="50"/>
  <c r="N110" i="50"/>
  <c r="L110" i="50"/>
  <c r="K110" i="50"/>
  <c r="U108" i="50"/>
  <c r="T108" i="50"/>
  <c r="U107" i="50"/>
  <c r="T107" i="50"/>
  <c r="U106" i="50"/>
  <c r="T106" i="50"/>
  <c r="S106" i="50"/>
  <c r="R106" i="50"/>
  <c r="Q106" i="50"/>
  <c r="P106" i="50"/>
  <c r="O106" i="50"/>
  <c r="N106" i="50"/>
  <c r="L106" i="50"/>
  <c r="K106" i="50"/>
  <c r="U104" i="50"/>
  <c r="T104" i="50"/>
  <c r="U103" i="50"/>
  <c r="T103" i="50"/>
  <c r="U102" i="50"/>
  <c r="T102" i="50"/>
  <c r="U101" i="50"/>
  <c r="T101" i="50"/>
  <c r="S101" i="50"/>
  <c r="R101" i="50"/>
  <c r="Q101" i="50"/>
  <c r="P101" i="50"/>
  <c r="O101" i="50"/>
  <c r="N101" i="50"/>
  <c r="L101" i="50"/>
  <c r="K101" i="50"/>
  <c r="U99" i="50"/>
  <c r="T99" i="50"/>
  <c r="U98" i="50"/>
  <c r="T98" i="50"/>
  <c r="U97" i="50"/>
  <c r="T97" i="50"/>
  <c r="U96" i="50"/>
  <c r="T96" i="50"/>
  <c r="S96" i="50"/>
  <c r="R96" i="50"/>
  <c r="Q96" i="50"/>
  <c r="P96" i="50"/>
  <c r="O96" i="50"/>
  <c r="N96" i="50"/>
  <c r="L96" i="50"/>
  <c r="K96" i="50"/>
  <c r="U94" i="50"/>
  <c r="T94" i="50"/>
  <c r="U93" i="50"/>
  <c r="T93" i="50"/>
  <c r="S92" i="50"/>
  <c r="R92" i="50"/>
  <c r="U92" i="50" s="1"/>
  <c r="Q92" i="50"/>
  <c r="P92" i="50"/>
  <c r="N92" i="50"/>
  <c r="O92" i="50" s="1"/>
  <c r="L92" i="50"/>
  <c r="K92" i="50"/>
  <c r="U90" i="50"/>
  <c r="T90" i="50"/>
  <c r="U89" i="50"/>
  <c r="T89" i="50"/>
  <c r="U88" i="50"/>
  <c r="T88" i="50"/>
  <c r="U87" i="50"/>
  <c r="T87" i="50"/>
  <c r="U86" i="50"/>
  <c r="T86" i="50"/>
  <c r="S86" i="50"/>
  <c r="R86" i="50"/>
  <c r="Q86" i="50"/>
  <c r="P86" i="50"/>
  <c r="O86" i="50"/>
  <c r="N86" i="50"/>
  <c r="L86" i="50"/>
  <c r="K86" i="50"/>
  <c r="U84" i="50"/>
  <c r="T84" i="50"/>
  <c r="U83" i="50"/>
  <c r="T83" i="50"/>
  <c r="U82" i="50"/>
  <c r="T82" i="50"/>
  <c r="U81" i="50"/>
  <c r="T81" i="50"/>
  <c r="S81" i="50"/>
  <c r="R81" i="50"/>
  <c r="Q81" i="50"/>
  <c r="P81" i="50"/>
  <c r="O81" i="50"/>
  <c r="N81" i="50"/>
  <c r="L81" i="50"/>
  <c r="K81" i="50"/>
  <c r="U77" i="50"/>
  <c r="T77" i="50"/>
  <c r="U76" i="50"/>
  <c r="T76" i="50"/>
  <c r="U75" i="50"/>
  <c r="T75" i="50"/>
  <c r="U74" i="50"/>
  <c r="T74" i="50"/>
  <c r="S74" i="50"/>
  <c r="R74" i="50"/>
  <c r="Q74" i="50"/>
  <c r="P74" i="50"/>
  <c r="O74" i="50"/>
  <c r="N74" i="50"/>
  <c r="L74" i="50"/>
  <c r="K74" i="50"/>
  <c r="U71" i="50"/>
  <c r="T71" i="50"/>
  <c r="U70" i="50"/>
  <c r="T70" i="50"/>
  <c r="S69" i="50"/>
  <c r="R69" i="50"/>
  <c r="U69" i="50" s="1"/>
  <c r="Q69" i="50"/>
  <c r="P69" i="50"/>
  <c r="N69" i="50"/>
  <c r="O69" i="50" s="1"/>
  <c r="L69" i="50"/>
  <c r="K69" i="50"/>
  <c r="U66" i="50"/>
  <c r="T66" i="50"/>
  <c r="U65" i="50"/>
  <c r="T65" i="50"/>
  <c r="U64" i="50"/>
  <c r="T64" i="50"/>
  <c r="U63" i="50"/>
  <c r="T63" i="50"/>
  <c r="U62" i="50"/>
  <c r="T62" i="50"/>
  <c r="U61" i="50"/>
  <c r="T61" i="50"/>
  <c r="T60" i="50"/>
  <c r="S60" i="50"/>
  <c r="R60" i="50"/>
  <c r="U60" i="50" s="1"/>
  <c r="Q60" i="50"/>
  <c r="O60" i="50" s="1"/>
  <c r="P60" i="50"/>
  <c r="N60" i="50"/>
  <c r="L60" i="50"/>
  <c r="K60" i="50"/>
  <c r="U57" i="50"/>
  <c r="T57" i="50"/>
  <c r="U56" i="50"/>
  <c r="T56" i="50"/>
  <c r="U55" i="50"/>
  <c r="T55" i="50"/>
  <c r="U54" i="50"/>
  <c r="T54" i="50"/>
  <c r="S53" i="50"/>
  <c r="R53" i="50"/>
  <c r="U53" i="50" s="1"/>
  <c r="Q53" i="50"/>
  <c r="P53" i="50"/>
  <c r="N53" i="50"/>
  <c r="O53" i="50" s="1"/>
  <c r="L53" i="50"/>
  <c r="K53" i="50"/>
  <c r="U50" i="50"/>
  <c r="T50" i="50"/>
  <c r="U49" i="50"/>
  <c r="T49" i="50"/>
  <c r="U48" i="50"/>
  <c r="T48" i="50"/>
  <c r="S47" i="50"/>
  <c r="R47" i="50"/>
  <c r="U47" i="50" s="1"/>
  <c r="Q47" i="50"/>
  <c r="P47" i="50"/>
  <c r="N47" i="50"/>
  <c r="O47" i="50" s="1"/>
  <c r="L47" i="50"/>
  <c r="K47" i="50"/>
  <c r="U44" i="50"/>
  <c r="T44" i="50"/>
  <c r="U43" i="50"/>
  <c r="T43" i="50"/>
  <c r="U42" i="50"/>
  <c r="T42" i="50"/>
  <c r="U41" i="50"/>
  <c r="T41" i="50"/>
  <c r="U40" i="50"/>
  <c r="T40" i="50"/>
  <c r="U39" i="50"/>
  <c r="T39" i="50"/>
  <c r="T38" i="50"/>
  <c r="S38" i="50"/>
  <c r="R38" i="50"/>
  <c r="U38" i="50" s="1"/>
  <c r="Q38" i="50"/>
  <c r="O38" i="50" s="1"/>
  <c r="P38" i="50"/>
  <c r="N38" i="50"/>
  <c r="L38" i="50"/>
  <c r="K38" i="50"/>
  <c r="U35" i="50"/>
  <c r="T35" i="50"/>
  <c r="U34" i="50"/>
  <c r="T34" i="50"/>
  <c r="S33" i="50"/>
  <c r="R33" i="50"/>
  <c r="U33" i="50" s="1"/>
  <c r="Q33" i="50"/>
  <c r="O33" i="50" s="1"/>
  <c r="P33" i="50"/>
  <c r="N33" i="50"/>
  <c r="L33" i="50"/>
  <c r="K33" i="50"/>
  <c r="U29" i="50"/>
  <c r="T29" i="50"/>
  <c r="U28" i="50"/>
  <c r="T28" i="50"/>
  <c r="U27" i="50"/>
  <c r="T27" i="50"/>
  <c r="U26" i="50"/>
  <c r="T26" i="50"/>
  <c r="T25" i="50"/>
  <c r="S25" i="50"/>
  <c r="R25" i="50"/>
  <c r="U25" i="50" s="1"/>
  <c r="Q25" i="50"/>
  <c r="O25" i="50" s="1"/>
  <c r="P25" i="50"/>
  <c r="N25" i="50"/>
  <c r="L25" i="50"/>
  <c r="K25" i="50"/>
  <c r="U22" i="50"/>
  <c r="T22" i="50"/>
  <c r="U21" i="50"/>
  <c r="T21" i="50"/>
  <c r="S20" i="50"/>
  <c r="R20" i="50"/>
  <c r="U20" i="50" s="1"/>
  <c r="Q20" i="50"/>
  <c r="O20" i="50" s="1"/>
  <c r="P20" i="50"/>
  <c r="N20" i="50"/>
  <c r="L20" i="50"/>
  <c r="U19" i="50"/>
  <c r="T19" i="50"/>
  <c r="U18" i="50"/>
  <c r="T18" i="50"/>
  <c r="T17" i="50"/>
  <c r="S17" i="50"/>
  <c r="U17" i="50" s="1"/>
  <c r="R17" i="50"/>
  <c r="Q17" i="50"/>
  <c r="P17" i="50"/>
  <c r="N17" i="50"/>
  <c r="O17" i="50" s="1"/>
  <c r="L17" i="50"/>
  <c r="K17" i="50"/>
  <c r="U12" i="50"/>
  <c r="T12" i="50"/>
  <c r="S11" i="50"/>
  <c r="R11" i="50"/>
  <c r="U11" i="50" s="1"/>
  <c r="Q11" i="50"/>
  <c r="T11" i="50" s="1"/>
  <c r="P11" i="50"/>
  <c r="O11" i="50"/>
  <c r="N11" i="50"/>
  <c r="L11" i="50"/>
  <c r="K11" i="50"/>
  <c r="T147" i="62"/>
  <c r="U147" i="62"/>
  <c r="C54" i="58"/>
  <c r="G153" i="57"/>
  <c r="C153" i="57"/>
  <c r="O153" i="56"/>
  <c r="O154" i="56"/>
  <c r="C153" i="56"/>
  <c r="O300" i="53"/>
  <c r="O299" i="53"/>
  <c r="C299" i="53"/>
  <c r="U297" i="53"/>
  <c r="T297" i="53"/>
  <c r="U296" i="53"/>
  <c r="T296" i="53"/>
  <c r="S295" i="53"/>
  <c r="R295" i="53"/>
  <c r="U295" i="53" s="1"/>
  <c r="Q295" i="53"/>
  <c r="O295" i="53" s="1"/>
  <c r="P295" i="53"/>
  <c r="N295" i="53"/>
  <c r="L295" i="53"/>
  <c r="H295" i="53"/>
  <c r="K294" i="53"/>
  <c r="H294" i="53"/>
  <c r="U291" i="53"/>
  <c r="T291" i="53"/>
  <c r="U290" i="53"/>
  <c r="T290" i="53"/>
  <c r="S289" i="53"/>
  <c r="R289" i="53"/>
  <c r="U289" i="53" s="1"/>
  <c r="Q289" i="53"/>
  <c r="O289" i="53" s="1"/>
  <c r="P289" i="53"/>
  <c r="N289" i="53"/>
  <c r="L289" i="53"/>
  <c r="H289" i="53"/>
  <c r="K288" i="53"/>
  <c r="H288" i="53"/>
  <c r="U286" i="53"/>
  <c r="T286" i="53"/>
  <c r="S285" i="53"/>
  <c r="R285" i="53"/>
  <c r="U285" i="53" s="1"/>
  <c r="Q285" i="53"/>
  <c r="O285" i="53" s="1"/>
  <c r="P285" i="53"/>
  <c r="N285" i="53"/>
  <c r="L285" i="53"/>
  <c r="K285" i="53"/>
  <c r="H285" i="53"/>
  <c r="K284" i="53"/>
  <c r="H284" i="53"/>
  <c r="U283" i="53"/>
  <c r="T283" i="53"/>
  <c r="U282" i="53"/>
  <c r="T282" i="53"/>
  <c r="S281" i="53"/>
  <c r="R281" i="53"/>
  <c r="U281" i="53" s="1"/>
  <c r="Q281" i="53"/>
  <c r="T281" i="53" s="1"/>
  <c r="P281" i="53"/>
  <c r="O281" i="53"/>
  <c r="N281" i="53"/>
  <c r="L281" i="53"/>
  <c r="H281" i="53"/>
  <c r="U280" i="53"/>
  <c r="T280" i="53"/>
  <c r="U279" i="53"/>
  <c r="T279" i="53"/>
  <c r="U278" i="53"/>
  <c r="S278" i="53"/>
  <c r="R278" i="53"/>
  <c r="Q278" i="53"/>
  <c r="T278" i="53" s="1"/>
  <c r="P278" i="53"/>
  <c r="O278" i="53"/>
  <c r="N278" i="53"/>
  <c r="L278" i="53"/>
  <c r="H278" i="53"/>
  <c r="K277" i="53"/>
  <c r="H277" i="53"/>
  <c r="U273" i="53"/>
  <c r="T273" i="53"/>
  <c r="U272" i="53"/>
  <c r="T272" i="53"/>
  <c r="U271" i="53"/>
  <c r="S271" i="53"/>
  <c r="R271" i="53"/>
  <c r="Q271" i="53"/>
  <c r="T271" i="53" s="1"/>
  <c r="P271" i="53"/>
  <c r="O271" i="53"/>
  <c r="N271" i="53"/>
  <c r="L271" i="53"/>
  <c r="K271" i="53"/>
  <c r="H271" i="53"/>
  <c r="U270" i="53"/>
  <c r="T270" i="53"/>
  <c r="U269" i="53"/>
  <c r="T269" i="53"/>
  <c r="U268" i="53"/>
  <c r="T268" i="53"/>
  <c r="S268" i="53"/>
  <c r="R268" i="53"/>
  <c r="Q268" i="53"/>
  <c r="P268" i="53"/>
  <c r="O268" i="53"/>
  <c r="N268" i="53"/>
  <c r="L268" i="53"/>
  <c r="K268" i="53"/>
  <c r="K267" i="53" s="1"/>
  <c r="H268" i="53"/>
  <c r="H267" i="53" s="1"/>
  <c r="U266" i="53"/>
  <c r="T266" i="53"/>
  <c r="U265" i="53"/>
  <c r="T265" i="53"/>
  <c r="S265" i="53"/>
  <c r="R265" i="53"/>
  <c r="Q265" i="53"/>
  <c r="P265" i="53"/>
  <c r="N265" i="53"/>
  <c r="O265" i="53" s="1"/>
  <c r="L265" i="53"/>
  <c r="K265" i="53"/>
  <c r="K264" i="53" s="1"/>
  <c r="H265" i="53"/>
  <c r="H264" i="53" s="1"/>
  <c r="U263" i="53"/>
  <c r="T263" i="53"/>
  <c r="U262" i="53"/>
  <c r="T262" i="53"/>
  <c r="U261" i="53"/>
  <c r="T261" i="53"/>
  <c r="S260" i="53"/>
  <c r="R260" i="53"/>
  <c r="U260" i="53" s="1"/>
  <c r="Q260" i="53"/>
  <c r="O260" i="53" s="1"/>
  <c r="P260" i="53"/>
  <c r="N260" i="53"/>
  <c r="L260" i="53"/>
  <c r="K260" i="53"/>
  <c r="H260" i="53"/>
  <c r="K259" i="53"/>
  <c r="H259" i="53"/>
  <c r="U258" i="53"/>
  <c r="T258" i="53"/>
  <c r="U257" i="53"/>
  <c r="T257" i="53"/>
  <c r="S256" i="53"/>
  <c r="R256" i="53"/>
  <c r="U256" i="53" s="1"/>
  <c r="Q256" i="53"/>
  <c r="T256" i="53" s="1"/>
  <c r="P256" i="53"/>
  <c r="O256" i="53"/>
  <c r="N256" i="53"/>
  <c r="L256" i="53"/>
  <c r="K256" i="53"/>
  <c r="H256" i="53"/>
  <c r="K255" i="53"/>
  <c r="H255" i="53"/>
  <c r="U254" i="53"/>
  <c r="T254" i="53"/>
  <c r="U253" i="53"/>
  <c r="T253" i="53"/>
  <c r="U252" i="53"/>
  <c r="T252" i="53"/>
  <c r="U251" i="53"/>
  <c r="S251" i="53"/>
  <c r="R251" i="53"/>
  <c r="T251" i="53" s="1"/>
  <c r="Q251" i="53"/>
  <c r="O251" i="53" s="1"/>
  <c r="P251" i="53"/>
  <c r="N251" i="53"/>
  <c r="L251" i="53"/>
  <c r="K251" i="53"/>
  <c r="H251" i="53"/>
  <c r="H250" i="53" s="1"/>
  <c r="K250" i="53"/>
  <c r="U249" i="53"/>
  <c r="T249" i="53"/>
  <c r="U248" i="53"/>
  <c r="T248" i="53"/>
  <c r="T247" i="53"/>
  <c r="S247" i="53"/>
  <c r="U247" i="53" s="1"/>
  <c r="R247" i="53"/>
  <c r="Q247" i="53"/>
  <c r="P247" i="53"/>
  <c r="N247" i="53"/>
  <c r="O247" i="53" s="1"/>
  <c r="L247" i="53"/>
  <c r="K247" i="53"/>
  <c r="K246" i="53" s="1"/>
  <c r="H247" i="53"/>
  <c r="H246" i="53" s="1"/>
  <c r="U245" i="53"/>
  <c r="T245" i="53"/>
  <c r="U244" i="53"/>
  <c r="T244" i="53"/>
  <c r="U243" i="53"/>
  <c r="T243" i="53"/>
  <c r="S243" i="53"/>
  <c r="R243" i="53"/>
  <c r="Q243" i="53"/>
  <c r="P243" i="53"/>
  <c r="O243" i="53"/>
  <c r="N243" i="53"/>
  <c r="L243" i="53"/>
  <c r="K243" i="53"/>
  <c r="K242" i="53" s="1"/>
  <c r="H243" i="53"/>
  <c r="H242" i="53" s="1"/>
  <c r="U241" i="53"/>
  <c r="T241" i="53"/>
  <c r="U240" i="53"/>
  <c r="T240" i="53"/>
  <c r="U239" i="53"/>
  <c r="S239" i="53"/>
  <c r="R239" i="53"/>
  <c r="Q239" i="53"/>
  <c r="T239" i="53" s="1"/>
  <c r="P239" i="53"/>
  <c r="O239" i="53"/>
  <c r="N239" i="53"/>
  <c r="L239" i="53"/>
  <c r="K239" i="53"/>
  <c r="K238" i="53" s="1"/>
  <c r="H239" i="53"/>
  <c r="H238" i="53"/>
  <c r="U237" i="53"/>
  <c r="T237" i="53"/>
  <c r="U236" i="53"/>
  <c r="T236" i="53"/>
  <c r="S235" i="53"/>
  <c r="R235" i="53"/>
  <c r="U235" i="53" s="1"/>
  <c r="Q235" i="53"/>
  <c r="O235" i="53" s="1"/>
  <c r="P235" i="53"/>
  <c r="N235" i="53"/>
  <c r="L235" i="53"/>
  <c r="K235" i="53"/>
  <c r="H235" i="53"/>
  <c r="U234" i="53"/>
  <c r="T234" i="53"/>
  <c r="U233" i="53"/>
  <c r="T233" i="53"/>
  <c r="U232" i="53"/>
  <c r="S232" i="53"/>
  <c r="R232" i="53"/>
  <c r="Q232" i="53"/>
  <c r="T232" i="53" s="1"/>
  <c r="P232" i="53"/>
  <c r="O232" i="53"/>
  <c r="N232" i="53"/>
  <c r="L232" i="53"/>
  <c r="K232" i="53"/>
  <c r="K231" i="53" s="1"/>
  <c r="H232" i="53"/>
  <c r="H231" i="53"/>
  <c r="U230" i="53"/>
  <c r="T230" i="53"/>
  <c r="U229" i="53"/>
  <c r="T229" i="53"/>
  <c r="S228" i="53"/>
  <c r="R228" i="53"/>
  <c r="U228" i="53" s="1"/>
  <c r="Q228" i="53"/>
  <c r="O228" i="53" s="1"/>
  <c r="P228" i="53"/>
  <c r="N228" i="53"/>
  <c r="L228" i="53"/>
  <c r="K228" i="53"/>
  <c r="H228" i="53"/>
  <c r="K227" i="53"/>
  <c r="H227" i="53"/>
  <c r="U226" i="53"/>
  <c r="T226" i="53"/>
  <c r="U225" i="53"/>
  <c r="T225" i="53"/>
  <c r="S224" i="53"/>
  <c r="R224" i="53"/>
  <c r="U224" i="53" s="1"/>
  <c r="Q224" i="53"/>
  <c r="T224" i="53" s="1"/>
  <c r="P224" i="53"/>
  <c r="O224" i="53"/>
  <c r="N224" i="53"/>
  <c r="L224" i="53"/>
  <c r="H224" i="53"/>
  <c r="U223" i="53"/>
  <c r="T223" i="53"/>
  <c r="U222" i="53"/>
  <c r="T222" i="53"/>
  <c r="U221" i="53"/>
  <c r="S221" i="53"/>
  <c r="R221" i="53"/>
  <c r="Q221" i="53"/>
  <c r="T221" i="53" s="1"/>
  <c r="P221" i="53"/>
  <c r="O221" i="53"/>
  <c r="N221" i="53"/>
  <c r="L221" i="53"/>
  <c r="H221" i="53"/>
  <c r="U220" i="53"/>
  <c r="T220" i="53"/>
  <c r="U219" i="53"/>
  <c r="T219" i="53"/>
  <c r="T218" i="53"/>
  <c r="S218" i="53"/>
  <c r="U218" i="53" s="1"/>
  <c r="R218" i="53"/>
  <c r="Q218" i="53"/>
  <c r="P218" i="53"/>
  <c r="N218" i="53"/>
  <c r="O218" i="53" s="1"/>
  <c r="L218" i="53"/>
  <c r="H218" i="53"/>
  <c r="H217" i="53" s="1"/>
  <c r="K217" i="53"/>
  <c r="U216" i="53"/>
  <c r="T216" i="53"/>
  <c r="T215" i="53"/>
  <c r="S215" i="53"/>
  <c r="U215" i="53" s="1"/>
  <c r="R215" i="53"/>
  <c r="Q215" i="53"/>
  <c r="O215" i="53" s="1"/>
  <c r="P215" i="53"/>
  <c r="N215" i="53"/>
  <c r="L215" i="53"/>
  <c r="K215" i="53"/>
  <c r="H215" i="53"/>
  <c r="U214" i="53"/>
  <c r="T214" i="53"/>
  <c r="U213" i="53"/>
  <c r="T213" i="53"/>
  <c r="S212" i="53"/>
  <c r="R212" i="53"/>
  <c r="U212" i="53" s="1"/>
  <c r="Q212" i="53"/>
  <c r="O212" i="53" s="1"/>
  <c r="P212" i="53"/>
  <c r="N212" i="53"/>
  <c r="L212" i="53"/>
  <c r="K212" i="53"/>
  <c r="H212" i="53"/>
  <c r="H204" i="53" s="1"/>
  <c r="U211" i="53"/>
  <c r="T211" i="53"/>
  <c r="U210" i="53"/>
  <c r="S210" i="53"/>
  <c r="R210" i="53"/>
  <c r="Q210" i="53"/>
  <c r="T210" i="53" s="1"/>
  <c r="P210" i="53"/>
  <c r="O210" i="53"/>
  <c r="N210" i="53"/>
  <c r="L210" i="53"/>
  <c r="K210" i="53"/>
  <c r="H210" i="53"/>
  <c r="U209" i="53"/>
  <c r="T209" i="53"/>
  <c r="U208" i="53"/>
  <c r="S208" i="53"/>
  <c r="R208" i="53"/>
  <c r="T208" i="53" s="1"/>
  <c r="Q208" i="53"/>
  <c r="O208" i="53" s="1"/>
  <c r="P208" i="53"/>
  <c r="N208" i="53"/>
  <c r="L208" i="53"/>
  <c r="K208" i="53"/>
  <c r="H208" i="53"/>
  <c r="U207" i="53"/>
  <c r="T207" i="53"/>
  <c r="U206" i="53"/>
  <c r="T206" i="53"/>
  <c r="T205" i="53"/>
  <c r="S205" i="53"/>
  <c r="U205" i="53" s="1"/>
  <c r="R205" i="53"/>
  <c r="Q205" i="53"/>
  <c r="O205" i="53" s="1"/>
  <c r="P205" i="53"/>
  <c r="N205" i="53"/>
  <c r="L205" i="53"/>
  <c r="K205" i="53"/>
  <c r="K204" i="53" s="1"/>
  <c r="H205" i="53"/>
  <c r="U203" i="53"/>
  <c r="T203" i="53"/>
  <c r="S202" i="53"/>
  <c r="R202" i="53"/>
  <c r="U202" i="53" s="1"/>
  <c r="Q202" i="53"/>
  <c r="O202" i="53" s="1"/>
  <c r="P202" i="53"/>
  <c r="N202" i="53"/>
  <c r="L202" i="53"/>
  <c r="K202" i="53"/>
  <c r="H202" i="53"/>
  <c r="U201" i="53"/>
  <c r="T201" i="53"/>
  <c r="U200" i="53"/>
  <c r="S200" i="53"/>
  <c r="R200" i="53"/>
  <c r="Q200" i="53"/>
  <c r="T200" i="53" s="1"/>
  <c r="P200" i="53"/>
  <c r="O200" i="53"/>
  <c r="N200" i="53"/>
  <c r="L200" i="53"/>
  <c r="K200" i="53"/>
  <c r="H200" i="53"/>
  <c r="U199" i="53"/>
  <c r="T199" i="53"/>
  <c r="U198" i="53"/>
  <c r="S198" i="53"/>
  <c r="R198" i="53"/>
  <c r="T198" i="53" s="1"/>
  <c r="Q198" i="53"/>
  <c r="O198" i="53" s="1"/>
  <c r="P198" i="53"/>
  <c r="N198" i="53"/>
  <c r="L198" i="53"/>
  <c r="K198" i="53"/>
  <c r="H198" i="53"/>
  <c r="U197" i="53"/>
  <c r="T197" i="53"/>
  <c r="S196" i="53"/>
  <c r="R196" i="53"/>
  <c r="U196" i="53" s="1"/>
  <c r="Q196" i="53"/>
  <c r="T196" i="53" s="1"/>
  <c r="P196" i="53"/>
  <c r="O196" i="53"/>
  <c r="N196" i="53"/>
  <c r="L196" i="53"/>
  <c r="K196" i="53"/>
  <c r="H196" i="53"/>
  <c r="U195" i="53"/>
  <c r="T195" i="53"/>
  <c r="U194" i="53"/>
  <c r="T194" i="53"/>
  <c r="S194" i="53"/>
  <c r="R194" i="53"/>
  <c r="Q194" i="53"/>
  <c r="P194" i="53"/>
  <c r="O194" i="53"/>
  <c r="N194" i="53"/>
  <c r="L194" i="53"/>
  <c r="K194" i="53"/>
  <c r="H194" i="53"/>
  <c r="U193" i="53"/>
  <c r="T193" i="53"/>
  <c r="T192" i="53"/>
  <c r="S192" i="53"/>
  <c r="U192" i="53" s="1"/>
  <c r="R192" i="53"/>
  <c r="Q192" i="53"/>
  <c r="O192" i="53" s="1"/>
  <c r="P192" i="53"/>
  <c r="N192" i="53"/>
  <c r="L192" i="53"/>
  <c r="K192" i="53"/>
  <c r="H192" i="53"/>
  <c r="U191" i="53"/>
  <c r="T191" i="53"/>
  <c r="S190" i="53"/>
  <c r="R190" i="53"/>
  <c r="U190" i="53" s="1"/>
  <c r="Q190" i="53"/>
  <c r="O190" i="53" s="1"/>
  <c r="P190" i="53"/>
  <c r="N190" i="53"/>
  <c r="L190" i="53"/>
  <c r="K190" i="53"/>
  <c r="H190" i="53"/>
  <c r="U189" i="53"/>
  <c r="T189" i="53"/>
  <c r="T188" i="53"/>
  <c r="S188" i="53"/>
  <c r="U188" i="53" s="1"/>
  <c r="R188" i="53"/>
  <c r="Q188" i="53"/>
  <c r="P188" i="53"/>
  <c r="N188" i="53"/>
  <c r="O188" i="53" s="1"/>
  <c r="L188" i="53"/>
  <c r="K188" i="53"/>
  <c r="H188" i="53"/>
  <c r="U187" i="53"/>
  <c r="T187" i="53"/>
  <c r="S186" i="53"/>
  <c r="R186" i="53"/>
  <c r="U186" i="53" s="1"/>
  <c r="Q186" i="53"/>
  <c r="O186" i="53" s="1"/>
  <c r="P186" i="53"/>
  <c r="N186" i="53"/>
  <c r="L186" i="53"/>
  <c r="K186" i="53"/>
  <c r="H186" i="53"/>
  <c r="U185" i="53"/>
  <c r="T185" i="53"/>
  <c r="U184" i="53"/>
  <c r="S184" i="53"/>
  <c r="R184" i="53"/>
  <c r="Q184" i="53"/>
  <c r="T184" i="53" s="1"/>
  <c r="P184" i="53"/>
  <c r="O184" i="53"/>
  <c r="N184" i="53"/>
  <c r="L184" i="53"/>
  <c r="K184" i="53"/>
  <c r="H184" i="53"/>
  <c r="U183" i="53"/>
  <c r="T183" i="53"/>
  <c r="U182" i="53"/>
  <c r="S182" i="53"/>
  <c r="R182" i="53"/>
  <c r="T182" i="53" s="1"/>
  <c r="Q182" i="53"/>
  <c r="O182" i="53" s="1"/>
  <c r="P182" i="53"/>
  <c r="N182" i="53"/>
  <c r="L182" i="53"/>
  <c r="K182" i="53"/>
  <c r="H182" i="53"/>
  <c r="U181" i="53"/>
  <c r="T181" i="53"/>
  <c r="S180" i="53"/>
  <c r="R180" i="53"/>
  <c r="U180" i="53" s="1"/>
  <c r="Q180" i="53"/>
  <c r="T180" i="53" s="1"/>
  <c r="P180" i="53"/>
  <c r="O180" i="53"/>
  <c r="N180" i="53"/>
  <c r="L180" i="53"/>
  <c r="K180" i="53"/>
  <c r="H180" i="53"/>
  <c r="U179" i="53"/>
  <c r="T179" i="53"/>
  <c r="U178" i="53"/>
  <c r="T178" i="53"/>
  <c r="S178" i="53"/>
  <c r="R178" i="53"/>
  <c r="Q178" i="53"/>
  <c r="P178" i="53"/>
  <c r="O178" i="53"/>
  <c r="N178" i="53"/>
  <c r="L178" i="53"/>
  <c r="K178" i="53"/>
  <c r="H178" i="53"/>
  <c r="U177" i="53"/>
  <c r="T177" i="53"/>
  <c r="T176" i="53"/>
  <c r="S176" i="53"/>
  <c r="U176" i="53" s="1"/>
  <c r="R176" i="53"/>
  <c r="Q176" i="53"/>
  <c r="O176" i="53" s="1"/>
  <c r="P176" i="53"/>
  <c r="N176" i="53"/>
  <c r="L176" i="53"/>
  <c r="K176" i="53"/>
  <c r="K168" i="53" s="1"/>
  <c r="H176" i="53"/>
  <c r="U175" i="53"/>
  <c r="T175" i="53"/>
  <c r="U174" i="53"/>
  <c r="T174" i="53"/>
  <c r="S173" i="53"/>
  <c r="R173" i="53"/>
  <c r="U173" i="53" s="1"/>
  <c r="Q173" i="53"/>
  <c r="P173" i="53"/>
  <c r="O173" i="53"/>
  <c r="N173" i="53"/>
  <c r="L173" i="53"/>
  <c r="K173" i="53"/>
  <c r="H173" i="53"/>
  <c r="U172" i="53"/>
  <c r="T172" i="53"/>
  <c r="U171" i="53"/>
  <c r="S171" i="53"/>
  <c r="R171" i="53"/>
  <c r="Q171" i="53"/>
  <c r="T171" i="53" s="1"/>
  <c r="P171" i="53"/>
  <c r="O171" i="53"/>
  <c r="N171" i="53"/>
  <c r="L171" i="53"/>
  <c r="K171" i="53"/>
  <c r="H171" i="53"/>
  <c r="U170" i="53"/>
  <c r="T170" i="53"/>
  <c r="U169" i="53"/>
  <c r="S169" i="53"/>
  <c r="R169" i="53"/>
  <c r="T169" i="53" s="1"/>
  <c r="Q169" i="53"/>
  <c r="O169" i="53" s="1"/>
  <c r="P169" i="53"/>
  <c r="N169" i="53"/>
  <c r="L169" i="53"/>
  <c r="K169" i="53"/>
  <c r="H169" i="53"/>
  <c r="H168" i="53" s="1"/>
  <c r="U166" i="53"/>
  <c r="T166" i="53"/>
  <c r="U165" i="53"/>
  <c r="T165" i="53"/>
  <c r="U164" i="53"/>
  <c r="T164" i="53"/>
  <c r="U163" i="53"/>
  <c r="T163" i="53"/>
  <c r="S162" i="53"/>
  <c r="R162" i="53"/>
  <c r="U162" i="53" s="1"/>
  <c r="Q162" i="53"/>
  <c r="T162" i="53" s="1"/>
  <c r="P162" i="53"/>
  <c r="O162" i="53"/>
  <c r="N162" i="53"/>
  <c r="L162" i="53"/>
  <c r="K162" i="53"/>
  <c r="H162" i="53"/>
  <c r="U161" i="53"/>
  <c r="T161" i="53"/>
  <c r="U160" i="53"/>
  <c r="T160" i="53"/>
  <c r="U159" i="53"/>
  <c r="T159" i="53"/>
  <c r="S158" i="53"/>
  <c r="R158" i="53"/>
  <c r="U158" i="53" s="1"/>
  <c r="Q158" i="53"/>
  <c r="O158" i="53" s="1"/>
  <c r="P158" i="53"/>
  <c r="N158" i="53"/>
  <c r="L158" i="53"/>
  <c r="H158" i="53"/>
  <c r="K157" i="53"/>
  <c r="H157" i="53"/>
  <c r="U156" i="53"/>
  <c r="T156" i="53"/>
  <c r="S155" i="53"/>
  <c r="R155" i="53"/>
  <c r="U155" i="53" s="1"/>
  <c r="Q155" i="53"/>
  <c r="O155" i="53" s="1"/>
  <c r="P155" i="53"/>
  <c r="N155" i="53"/>
  <c r="L155" i="53"/>
  <c r="K155" i="53"/>
  <c r="H155" i="53"/>
  <c r="K154" i="53"/>
  <c r="H154" i="53"/>
  <c r="U153" i="53"/>
  <c r="T153" i="53"/>
  <c r="U152" i="53"/>
  <c r="S152" i="53"/>
  <c r="R152" i="53"/>
  <c r="Q152" i="53"/>
  <c r="T152" i="53" s="1"/>
  <c r="P152" i="53"/>
  <c r="O152" i="53"/>
  <c r="N152" i="53"/>
  <c r="L152" i="53"/>
  <c r="K152" i="53"/>
  <c r="K151" i="53" s="1"/>
  <c r="H152" i="53"/>
  <c r="H151" i="53"/>
  <c r="U150" i="53"/>
  <c r="T150" i="53"/>
  <c r="U149" i="53"/>
  <c r="T149" i="53"/>
  <c r="U148" i="53"/>
  <c r="T148" i="53"/>
  <c r="S147" i="53"/>
  <c r="R147" i="53"/>
  <c r="U147" i="53" s="1"/>
  <c r="Q147" i="53"/>
  <c r="O147" i="53" s="1"/>
  <c r="P147" i="53"/>
  <c r="N147" i="53"/>
  <c r="L147" i="53"/>
  <c r="H147" i="53"/>
  <c r="K146" i="53"/>
  <c r="H146" i="53"/>
  <c r="U145" i="53"/>
  <c r="T145" i="53"/>
  <c r="S144" i="53"/>
  <c r="R144" i="53"/>
  <c r="U144" i="53" s="1"/>
  <c r="Q144" i="53"/>
  <c r="O144" i="53" s="1"/>
  <c r="P144" i="53"/>
  <c r="N144" i="53"/>
  <c r="L144" i="53"/>
  <c r="K144" i="53"/>
  <c r="H144" i="53"/>
  <c r="U143" i="53"/>
  <c r="T143" i="53"/>
  <c r="U142" i="53"/>
  <c r="T142" i="53"/>
  <c r="S142" i="53"/>
  <c r="R142" i="53"/>
  <c r="Q142" i="53"/>
  <c r="P142" i="53"/>
  <c r="N142" i="53"/>
  <c r="O142" i="53" s="1"/>
  <c r="L142" i="53"/>
  <c r="H142" i="53"/>
  <c r="U141" i="53"/>
  <c r="T141" i="53"/>
  <c r="U140" i="53"/>
  <c r="T140" i="53"/>
  <c r="T139" i="53"/>
  <c r="S139" i="53"/>
  <c r="U139" i="53" s="1"/>
  <c r="R139" i="53"/>
  <c r="Q139" i="53"/>
  <c r="O139" i="53" s="1"/>
  <c r="P139" i="53"/>
  <c r="N139" i="53"/>
  <c r="L139" i="53"/>
  <c r="K139" i="53"/>
  <c r="K138" i="53" s="1"/>
  <c r="H139" i="53"/>
  <c r="H138" i="53"/>
  <c r="U137" i="53"/>
  <c r="T137" i="53"/>
  <c r="S136" i="53"/>
  <c r="R136" i="53"/>
  <c r="U136" i="53" s="1"/>
  <c r="Q136" i="53"/>
  <c r="O136" i="53" s="1"/>
  <c r="P136" i="53"/>
  <c r="N136" i="53"/>
  <c r="L136" i="53"/>
  <c r="K136" i="53"/>
  <c r="H136" i="53"/>
  <c r="U135" i="53"/>
  <c r="T135" i="53"/>
  <c r="U134" i="53"/>
  <c r="S134" i="53"/>
  <c r="R134" i="53"/>
  <c r="Q134" i="53"/>
  <c r="T134" i="53" s="1"/>
  <c r="P134" i="53"/>
  <c r="O134" i="53"/>
  <c r="N134" i="53"/>
  <c r="L134" i="53"/>
  <c r="H134" i="53"/>
  <c r="U133" i="53"/>
  <c r="T133" i="53"/>
  <c r="U132" i="53"/>
  <c r="T132" i="53"/>
  <c r="T131" i="53"/>
  <c r="S131" i="53"/>
  <c r="U131" i="53" s="1"/>
  <c r="R131" i="53"/>
  <c r="Q131" i="53"/>
  <c r="P131" i="53"/>
  <c r="N131" i="53"/>
  <c r="O131" i="53" s="1"/>
  <c r="L131" i="53"/>
  <c r="K131" i="53"/>
  <c r="H131" i="53"/>
  <c r="U130" i="53"/>
  <c r="T130" i="53"/>
  <c r="U129" i="53"/>
  <c r="T129" i="53"/>
  <c r="U128" i="53"/>
  <c r="S128" i="53"/>
  <c r="R128" i="53"/>
  <c r="T128" i="53" s="1"/>
  <c r="Q128" i="53"/>
  <c r="O128" i="53" s="1"/>
  <c r="P128" i="53"/>
  <c r="N128" i="53"/>
  <c r="L128" i="53"/>
  <c r="K128" i="53"/>
  <c r="H128" i="53"/>
  <c r="H127" i="53" s="1"/>
  <c r="K127" i="53"/>
  <c r="U126" i="53"/>
  <c r="T126" i="53"/>
  <c r="U125" i="53"/>
  <c r="T125" i="53"/>
  <c r="S125" i="53"/>
  <c r="R125" i="53"/>
  <c r="Q125" i="53"/>
  <c r="O125" i="53" s="1"/>
  <c r="P125" i="53"/>
  <c r="N125" i="53"/>
  <c r="U124" i="53"/>
  <c r="T124" i="53"/>
  <c r="T123" i="53"/>
  <c r="S123" i="53"/>
  <c r="U123" i="53" s="1"/>
  <c r="R123" i="53"/>
  <c r="Q123" i="53"/>
  <c r="P123" i="53"/>
  <c r="N123" i="53"/>
  <c r="O123" i="53" s="1"/>
  <c r="U122" i="53"/>
  <c r="T122" i="53"/>
  <c r="U121" i="53"/>
  <c r="T121" i="53"/>
  <c r="S120" i="53"/>
  <c r="R120" i="53"/>
  <c r="U120" i="53" s="1"/>
  <c r="Q120" i="53"/>
  <c r="T120" i="53" s="1"/>
  <c r="P120" i="53"/>
  <c r="O120" i="53"/>
  <c r="N120" i="53"/>
  <c r="L120" i="53"/>
  <c r="K120" i="53"/>
  <c r="H120" i="53"/>
  <c r="K119" i="53"/>
  <c r="H119" i="53"/>
  <c r="U115" i="53"/>
  <c r="T115" i="53"/>
  <c r="S114" i="53"/>
  <c r="R114" i="53"/>
  <c r="U114" i="53" s="1"/>
  <c r="Q114" i="53"/>
  <c r="O114" i="53" s="1"/>
  <c r="P114" i="53"/>
  <c r="N114" i="53"/>
  <c r="L114" i="53"/>
  <c r="H114" i="53"/>
  <c r="K113" i="53"/>
  <c r="H113" i="53"/>
  <c r="U112" i="53"/>
  <c r="T112" i="53"/>
  <c r="U111" i="53"/>
  <c r="T111" i="53"/>
  <c r="S110" i="53"/>
  <c r="R110" i="53"/>
  <c r="U110" i="53" s="1"/>
  <c r="Q110" i="53"/>
  <c r="O110" i="53" s="1"/>
  <c r="P110" i="53"/>
  <c r="N110" i="53"/>
  <c r="L110" i="53"/>
  <c r="K110" i="53"/>
  <c r="H110" i="53"/>
  <c r="K109" i="53"/>
  <c r="H109" i="53"/>
  <c r="U106" i="53"/>
  <c r="T106" i="53"/>
  <c r="U105" i="53"/>
  <c r="S105" i="53"/>
  <c r="R105" i="53"/>
  <c r="Q105" i="53"/>
  <c r="T105" i="53" s="1"/>
  <c r="P105" i="53"/>
  <c r="O105" i="53"/>
  <c r="N105" i="53"/>
  <c r="L105" i="53"/>
  <c r="K105" i="53"/>
  <c r="H105" i="53"/>
  <c r="U104" i="53"/>
  <c r="T104" i="53"/>
  <c r="U103" i="53"/>
  <c r="S103" i="53"/>
  <c r="R103" i="53"/>
  <c r="T103" i="53" s="1"/>
  <c r="Q103" i="53"/>
  <c r="O103" i="53" s="1"/>
  <c r="P103" i="53"/>
  <c r="N103" i="53"/>
  <c r="L103" i="53"/>
  <c r="K103" i="53"/>
  <c r="H103" i="53"/>
  <c r="U102" i="53"/>
  <c r="T102" i="53"/>
  <c r="U101" i="53"/>
  <c r="T101" i="53"/>
  <c r="U100" i="53"/>
  <c r="T100" i="53"/>
  <c r="T99" i="53"/>
  <c r="S99" i="53"/>
  <c r="U99" i="53" s="1"/>
  <c r="R99" i="53"/>
  <c r="Q99" i="53"/>
  <c r="P99" i="53"/>
  <c r="N99" i="53"/>
  <c r="O99" i="53" s="1"/>
  <c r="L99" i="53"/>
  <c r="K99" i="53"/>
  <c r="K98" i="53" s="1"/>
  <c r="H99" i="53"/>
  <c r="H98" i="53" s="1"/>
  <c r="U96" i="53"/>
  <c r="T96" i="53"/>
  <c r="U95" i="53"/>
  <c r="S95" i="53"/>
  <c r="R95" i="53"/>
  <c r="T95" i="53" s="1"/>
  <c r="Q95" i="53"/>
  <c r="O95" i="53" s="1"/>
  <c r="P95" i="53"/>
  <c r="N95" i="53"/>
  <c r="L95" i="53"/>
  <c r="K95" i="53"/>
  <c r="H95" i="53"/>
  <c r="U94" i="53"/>
  <c r="T94" i="53"/>
  <c r="S93" i="53"/>
  <c r="R93" i="53"/>
  <c r="U93" i="53" s="1"/>
  <c r="Q93" i="53"/>
  <c r="T93" i="53" s="1"/>
  <c r="P93" i="53"/>
  <c r="O93" i="53"/>
  <c r="N93" i="53"/>
  <c r="L93" i="53"/>
  <c r="K93" i="53"/>
  <c r="H93" i="53"/>
  <c r="U92" i="53"/>
  <c r="T92" i="53"/>
  <c r="U91" i="53"/>
  <c r="T91" i="53"/>
  <c r="S90" i="53"/>
  <c r="R90" i="53"/>
  <c r="U90" i="53" s="1"/>
  <c r="Q90" i="53"/>
  <c r="O90" i="53" s="1"/>
  <c r="P90" i="53"/>
  <c r="N90" i="53"/>
  <c r="L90" i="53"/>
  <c r="K90" i="53"/>
  <c r="H90" i="53"/>
  <c r="U89" i="53"/>
  <c r="T89" i="53"/>
  <c r="U88" i="53"/>
  <c r="T88" i="53"/>
  <c r="S88" i="53"/>
  <c r="R88" i="53"/>
  <c r="Q88" i="53"/>
  <c r="P88" i="53"/>
  <c r="N88" i="53"/>
  <c r="O88" i="53" s="1"/>
  <c r="L88" i="53"/>
  <c r="K88" i="53"/>
  <c r="H88" i="53"/>
  <c r="U87" i="53"/>
  <c r="T87" i="53"/>
  <c r="S86" i="53"/>
  <c r="R86" i="53"/>
  <c r="T86" i="53" s="1"/>
  <c r="Q86" i="53"/>
  <c r="O86" i="53" s="1"/>
  <c r="P86" i="53"/>
  <c r="N86" i="53"/>
  <c r="L86" i="53"/>
  <c r="K86" i="53"/>
  <c r="H86" i="53"/>
  <c r="H85" i="53" s="1"/>
  <c r="K85" i="53"/>
  <c r="U82" i="53"/>
  <c r="T82" i="53"/>
  <c r="S81" i="53"/>
  <c r="R81" i="53"/>
  <c r="U81" i="53" s="1"/>
  <c r="Q81" i="53"/>
  <c r="T81" i="53" s="1"/>
  <c r="P81" i="53"/>
  <c r="O81" i="53"/>
  <c r="N81" i="53"/>
  <c r="L81" i="53"/>
  <c r="H81" i="53"/>
  <c r="K80" i="53"/>
  <c r="H80" i="53"/>
  <c r="U78" i="53"/>
  <c r="T78" i="53"/>
  <c r="U77" i="53"/>
  <c r="T77" i="53"/>
  <c r="S76" i="53"/>
  <c r="R76" i="53"/>
  <c r="U76" i="53" s="1"/>
  <c r="Q76" i="53"/>
  <c r="T76" i="53" s="1"/>
  <c r="P76" i="53"/>
  <c r="O76" i="53"/>
  <c r="N76" i="53"/>
  <c r="L76" i="53"/>
  <c r="K76" i="53"/>
  <c r="H76" i="53"/>
  <c r="K75" i="53"/>
  <c r="H75" i="53"/>
  <c r="U74" i="53"/>
  <c r="T74" i="53"/>
  <c r="U73" i="53"/>
  <c r="T73" i="53"/>
  <c r="S72" i="53"/>
  <c r="R72" i="53"/>
  <c r="T72" i="53" s="1"/>
  <c r="Q72" i="53"/>
  <c r="O72" i="53" s="1"/>
  <c r="P72" i="53"/>
  <c r="N72" i="53"/>
  <c r="L72" i="53"/>
  <c r="K72" i="53"/>
  <c r="H72" i="53"/>
  <c r="H71" i="53" s="1"/>
  <c r="K71" i="53"/>
  <c r="U69" i="53"/>
  <c r="T69" i="53"/>
  <c r="U68" i="53"/>
  <c r="T68" i="53"/>
  <c r="U67" i="53"/>
  <c r="T67" i="53"/>
  <c r="T66" i="53"/>
  <c r="S66" i="53"/>
  <c r="U66" i="53" s="1"/>
  <c r="R66" i="53"/>
  <c r="Q66" i="53"/>
  <c r="P66" i="53"/>
  <c r="N66" i="53"/>
  <c r="O66" i="53" s="1"/>
  <c r="L66" i="53"/>
  <c r="K66" i="53"/>
  <c r="K65" i="53" s="1"/>
  <c r="H66" i="53"/>
  <c r="H65" i="53" s="1"/>
  <c r="U63" i="53"/>
  <c r="T63" i="53"/>
  <c r="U62" i="53"/>
  <c r="T62" i="53"/>
  <c r="U61" i="53"/>
  <c r="T61" i="53"/>
  <c r="S61" i="53"/>
  <c r="R61" i="53"/>
  <c r="Q61" i="53"/>
  <c r="P61" i="53"/>
  <c r="O61" i="53"/>
  <c r="N61" i="53"/>
  <c r="L61" i="53"/>
  <c r="K61" i="53"/>
  <c r="K60" i="53" s="1"/>
  <c r="H61" i="53"/>
  <c r="H60" i="53" s="1"/>
  <c r="U58" i="53"/>
  <c r="T58" i="53"/>
  <c r="U57" i="53"/>
  <c r="U56" i="53"/>
  <c r="T56" i="53"/>
  <c r="S56" i="53"/>
  <c r="R56" i="53"/>
  <c r="Q56" i="53"/>
  <c r="P56" i="53"/>
  <c r="O56" i="53"/>
  <c r="N56" i="53"/>
  <c r="L56" i="53"/>
  <c r="K56" i="53"/>
  <c r="H56" i="53"/>
  <c r="U55" i="53"/>
  <c r="T55" i="53"/>
  <c r="U54" i="53"/>
  <c r="T54" i="53"/>
  <c r="T53" i="53"/>
  <c r="S53" i="53"/>
  <c r="U53" i="53" s="1"/>
  <c r="R53" i="53"/>
  <c r="Q53" i="53"/>
  <c r="P53" i="53"/>
  <c r="N53" i="53"/>
  <c r="O53" i="53" s="1"/>
  <c r="L53" i="53"/>
  <c r="K53" i="53"/>
  <c r="K52" i="53" s="1"/>
  <c r="H53" i="53"/>
  <c r="H52" i="53" s="1"/>
  <c r="U50" i="53"/>
  <c r="T50" i="53"/>
  <c r="U49" i="53"/>
  <c r="T49" i="53"/>
  <c r="U48" i="53"/>
  <c r="T48" i="53"/>
  <c r="S48" i="53"/>
  <c r="R48" i="53"/>
  <c r="Q48" i="53"/>
  <c r="P48" i="53"/>
  <c r="O48" i="53"/>
  <c r="N48" i="53"/>
  <c r="L48" i="53"/>
  <c r="K48" i="53"/>
  <c r="K47" i="53" s="1"/>
  <c r="H48" i="53"/>
  <c r="H47" i="53" s="1"/>
  <c r="U46" i="53"/>
  <c r="T46" i="53"/>
  <c r="U45" i="53"/>
  <c r="T45" i="53"/>
  <c r="U44" i="53"/>
  <c r="S44" i="53"/>
  <c r="R44" i="53"/>
  <c r="Q44" i="53"/>
  <c r="T44" i="53" s="1"/>
  <c r="P44" i="53"/>
  <c r="O44" i="53"/>
  <c r="N44" i="53"/>
  <c r="L44" i="53"/>
  <c r="K44" i="53"/>
  <c r="K43" i="53" s="1"/>
  <c r="H44" i="53"/>
  <c r="H43" i="53"/>
  <c r="U40" i="53"/>
  <c r="T40" i="53"/>
  <c r="U39" i="53"/>
  <c r="T39" i="53"/>
  <c r="S38" i="53"/>
  <c r="R38" i="53"/>
  <c r="U38" i="53" s="1"/>
  <c r="Q38" i="53"/>
  <c r="O38" i="53" s="1"/>
  <c r="P38" i="53"/>
  <c r="N38" i="53"/>
  <c r="L38" i="53"/>
  <c r="K38" i="53"/>
  <c r="H38" i="53"/>
  <c r="K37" i="53"/>
  <c r="H37" i="53"/>
  <c r="U33" i="53"/>
  <c r="T33" i="53"/>
  <c r="U32" i="53"/>
  <c r="T32" i="53"/>
  <c r="S31" i="53"/>
  <c r="R31" i="53"/>
  <c r="U31" i="53" s="1"/>
  <c r="Q31" i="53"/>
  <c r="T31" i="53" s="1"/>
  <c r="P31" i="53"/>
  <c r="O31" i="53"/>
  <c r="N31" i="53"/>
  <c r="L31" i="53"/>
  <c r="K31" i="53"/>
  <c r="H31" i="53"/>
  <c r="K30" i="53"/>
  <c r="H30" i="53"/>
  <c r="U29" i="53"/>
  <c r="T29" i="53"/>
  <c r="U28" i="53"/>
  <c r="T28" i="53"/>
  <c r="S27" i="53"/>
  <c r="R27" i="53"/>
  <c r="U27" i="53" s="1"/>
  <c r="Q27" i="53"/>
  <c r="O27" i="53" s="1"/>
  <c r="P27" i="53"/>
  <c r="N27" i="53"/>
  <c r="L27" i="53"/>
  <c r="K27" i="53"/>
  <c r="H27" i="53"/>
  <c r="U26" i="53"/>
  <c r="T26" i="53"/>
  <c r="U25" i="53"/>
  <c r="S25" i="53"/>
  <c r="R25" i="53"/>
  <c r="Q25" i="53"/>
  <c r="T25" i="53" s="1"/>
  <c r="P25" i="53"/>
  <c r="O25" i="53"/>
  <c r="N25" i="53"/>
  <c r="L25" i="53"/>
  <c r="K25" i="53"/>
  <c r="H25" i="53"/>
  <c r="U24" i="53"/>
  <c r="T24" i="53"/>
  <c r="U23" i="53"/>
  <c r="S23" i="53"/>
  <c r="R23" i="53"/>
  <c r="T23" i="53" s="1"/>
  <c r="Q23" i="53"/>
  <c r="O23" i="53" s="1"/>
  <c r="P23" i="53"/>
  <c r="N23" i="53"/>
  <c r="L23" i="53"/>
  <c r="K23" i="53"/>
  <c r="H23" i="53"/>
  <c r="H22" i="53" s="1"/>
  <c r="K22" i="53"/>
  <c r="U19" i="53"/>
  <c r="T19" i="53"/>
  <c r="T18" i="53"/>
  <c r="S18" i="53"/>
  <c r="U18" i="53" s="1"/>
  <c r="R18" i="53"/>
  <c r="Q18" i="53"/>
  <c r="O18" i="53" s="1"/>
  <c r="P18" i="53"/>
  <c r="N18" i="53"/>
  <c r="K18" i="53"/>
  <c r="H18" i="53"/>
  <c r="H17" i="53" s="1"/>
  <c r="K17" i="53"/>
  <c r="U16" i="53"/>
  <c r="T16" i="53"/>
  <c r="U15" i="53"/>
  <c r="T15" i="53"/>
  <c r="U14" i="53"/>
  <c r="T14" i="53"/>
  <c r="T13" i="53"/>
  <c r="S13" i="53"/>
  <c r="U13" i="53" s="1"/>
  <c r="R13" i="53"/>
  <c r="Q13" i="53"/>
  <c r="P13" i="53"/>
  <c r="N13" i="53"/>
  <c r="O13" i="53" s="1"/>
  <c r="L13" i="53"/>
  <c r="K13" i="53"/>
  <c r="H13" i="53"/>
  <c r="H10" i="53" s="1"/>
  <c r="U12" i="53"/>
  <c r="T12" i="53"/>
  <c r="S11" i="53"/>
  <c r="S299" i="53" s="1"/>
  <c r="R11" i="53"/>
  <c r="T11" i="53" s="1"/>
  <c r="Q11" i="53"/>
  <c r="O11" i="53" s="1"/>
  <c r="P11" i="53"/>
  <c r="P299" i="53" s="1"/>
  <c r="N11" i="53"/>
  <c r="L11" i="53"/>
  <c r="K11" i="53"/>
  <c r="K10" i="53"/>
  <c r="C71" i="52"/>
  <c r="G71" i="52"/>
  <c r="C171" i="49"/>
  <c r="U168" i="49"/>
  <c r="T168" i="49"/>
  <c r="U167" i="49"/>
  <c r="T167" i="49"/>
  <c r="U166" i="49"/>
  <c r="T166" i="49"/>
  <c r="S166" i="49"/>
  <c r="R166" i="49"/>
  <c r="Q166" i="49"/>
  <c r="P166" i="49"/>
  <c r="N166" i="49"/>
  <c r="O166" i="49" s="1"/>
  <c r="L166" i="49"/>
  <c r="K166" i="49"/>
  <c r="H166" i="49"/>
  <c r="U161" i="49"/>
  <c r="T161" i="49"/>
  <c r="U160" i="49"/>
  <c r="T160" i="49"/>
  <c r="U159" i="49"/>
  <c r="T159" i="49"/>
  <c r="S159" i="49"/>
  <c r="R159" i="49"/>
  <c r="Q159" i="49"/>
  <c r="O159" i="49" s="1"/>
  <c r="P159" i="49"/>
  <c r="N159" i="49"/>
  <c r="L159" i="49"/>
  <c r="K159" i="49"/>
  <c r="H159" i="49"/>
  <c r="U157" i="49"/>
  <c r="T157" i="49"/>
  <c r="U156" i="49"/>
  <c r="T156" i="49"/>
  <c r="S155" i="49"/>
  <c r="R155" i="49"/>
  <c r="T155" i="49" s="1"/>
  <c r="Q155" i="49"/>
  <c r="P155" i="49"/>
  <c r="O155" i="49"/>
  <c r="N155" i="49"/>
  <c r="L155" i="49"/>
  <c r="K155" i="49"/>
  <c r="H155" i="49"/>
  <c r="U153" i="49"/>
  <c r="T153" i="49"/>
  <c r="U152" i="49"/>
  <c r="T152" i="49"/>
  <c r="U151" i="49"/>
  <c r="T151" i="49"/>
  <c r="U150" i="49"/>
  <c r="T150" i="49"/>
  <c r="U149" i="49"/>
  <c r="T149" i="49"/>
  <c r="S148" i="49"/>
  <c r="R148" i="49"/>
  <c r="U148" i="49" s="1"/>
  <c r="Q148" i="49"/>
  <c r="T148" i="49" s="1"/>
  <c r="P148" i="49"/>
  <c r="O148" i="49"/>
  <c r="N148" i="49"/>
  <c r="L148" i="49"/>
  <c r="K148" i="49"/>
  <c r="H148" i="49"/>
  <c r="U145" i="49"/>
  <c r="T145" i="49"/>
  <c r="U144" i="49"/>
  <c r="T144" i="49"/>
  <c r="H144" i="49"/>
  <c r="U143" i="49"/>
  <c r="T143" i="49"/>
  <c r="S142" i="49"/>
  <c r="R142" i="49"/>
  <c r="U142" i="49" s="1"/>
  <c r="Q142" i="49"/>
  <c r="O142" i="49" s="1"/>
  <c r="P142" i="49"/>
  <c r="N142" i="49"/>
  <c r="L142" i="49"/>
  <c r="K142" i="49"/>
  <c r="H142" i="49"/>
  <c r="U140" i="49"/>
  <c r="T140" i="49"/>
  <c r="H140" i="49"/>
  <c r="U139" i="49"/>
  <c r="T139" i="49"/>
  <c r="S138" i="49"/>
  <c r="R138" i="49"/>
  <c r="U138" i="49" s="1"/>
  <c r="Q138" i="49"/>
  <c r="O138" i="49" s="1"/>
  <c r="P138" i="49"/>
  <c r="N138" i="49"/>
  <c r="L138" i="49"/>
  <c r="K138" i="49"/>
  <c r="U135" i="49"/>
  <c r="T135" i="49"/>
  <c r="U134" i="49"/>
  <c r="T134" i="49"/>
  <c r="H134" i="49"/>
  <c r="U133" i="49"/>
  <c r="T133" i="49"/>
  <c r="S132" i="49"/>
  <c r="R132" i="49"/>
  <c r="T132" i="49" s="1"/>
  <c r="Q132" i="49"/>
  <c r="P132" i="49"/>
  <c r="O132" i="49"/>
  <c r="N132" i="49"/>
  <c r="L132" i="49"/>
  <c r="K132" i="49"/>
  <c r="H132" i="49"/>
  <c r="U129" i="49"/>
  <c r="T129" i="49"/>
  <c r="H129" i="49"/>
  <c r="S128" i="49"/>
  <c r="R128" i="49"/>
  <c r="U128" i="49" s="1"/>
  <c r="Q128" i="49"/>
  <c r="O128" i="49" s="1"/>
  <c r="P128" i="49"/>
  <c r="N128" i="49"/>
  <c r="L128" i="49"/>
  <c r="K128" i="49"/>
  <c r="U127" i="49"/>
  <c r="T127" i="49"/>
  <c r="H127" i="49"/>
  <c r="H125" i="49" s="1"/>
  <c r="U126" i="49"/>
  <c r="S126" i="49"/>
  <c r="R126" i="49"/>
  <c r="Q126" i="49"/>
  <c r="T126" i="49" s="1"/>
  <c r="P126" i="49"/>
  <c r="N126" i="49"/>
  <c r="O126" i="49" s="1"/>
  <c r="L126" i="49"/>
  <c r="K126" i="49"/>
  <c r="U123" i="49"/>
  <c r="T123" i="49"/>
  <c r="U122" i="49"/>
  <c r="T122" i="49"/>
  <c r="U121" i="49"/>
  <c r="T121" i="49"/>
  <c r="S121" i="49"/>
  <c r="R121" i="49"/>
  <c r="Q121" i="49"/>
  <c r="P121" i="49"/>
  <c r="N121" i="49"/>
  <c r="O121" i="49" s="1"/>
  <c r="L121" i="49"/>
  <c r="U119" i="49"/>
  <c r="T119" i="49"/>
  <c r="H119" i="49"/>
  <c r="S118" i="49"/>
  <c r="R118" i="49"/>
  <c r="U118" i="49" s="1"/>
  <c r="Q118" i="49"/>
  <c r="O118" i="49" s="1"/>
  <c r="P118" i="49"/>
  <c r="N118" i="49"/>
  <c r="L118" i="49"/>
  <c r="U117" i="49"/>
  <c r="T117" i="49"/>
  <c r="H117" i="49"/>
  <c r="U116" i="49"/>
  <c r="T116" i="49"/>
  <c r="S116" i="49"/>
  <c r="R116" i="49"/>
  <c r="Q116" i="49"/>
  <c r="P116" i="49"/>
  <c r="N116" i="49"/>
  <c r="O116" i="49" s="1"/>
  <c r="L116" i="49"/>
  <c r="U115" i="49"/>
  <c r="T115" i="49"/>
  <c r="H115" i="49"/>
  <c r="S114" i="49"/>
  <c r="R114" i="49"/>
  <c r="U114" i="49" s="1"/>
  <c r="Q114" i="49"/>
  <c r="O114" i="49" s="1"/>
  <c r="P114" i="49"/>
  <c r="N114" i="49"/>
  <c r="L114" i="49"/>
  <c r="U113" i="49"/>
  <c r="T113" i="49"/>
  <c r="H113" i="49"/>
  <c r="U112" i="49"/>
  <c r="T112" i="49"/>
  <c r="S112" i="49"/>
  <c r="R112" i="49"/>
  <c r="Q112" i="49"/>
  <c r="P112" i="49"/>
  <c r="N112" i="49"/>
  <c r="O112" i="49" s="1"/>
  <c r="L112" i="49"/>
  <c r="U111" i="49"/>
  <c r="T111" i="49"/>
  <c r="H111" i="49"/>
  <c r="S110" i="49"/>
  <c r="R110" i="49"/>
  <c r="U110" i="49" s="1"/>
  <c r="Q110" i="49"/>
  <c r="O110" i="49" s="1"/>
  <c r="P110" i="49"/>
  <c r="N110" i="49"/>
  <c r="L110" i="49"/>
  <c r="U109" i="49"/>
  <c r="T109" i="49"/>
  <c r="H109" i="49"/>
  <c r="U108" i="49"/>
  <c r="T108" i="49"/>
  <c r="S108" i="49"/>
  <c r="R108" i="49"/>
  <c r="Q108" i="49"/>
  <c r="P108" i="49"/>
  <c r="N108" i="49"/>
  <c r="O108" i="49" s="1"/>
  <c r="L108" i="49"/>
  <c r="U107" i="49"/>
  <c r="T107" i="49"/>
  <c r="H107" i="49"/>
  <c r="S106" i="49"/>
  <c r="R106" i="49"/>
  <c r="U106" i="49" s="1"/>
  <c r="Q106" i="49"/>
  <c r="O106" i="49" s="1"/>
  <c r="P106" i="49"/>
  <c r="N106" i="49"/>
  <c r="L106" i="49"/>
  <c r="U105" i="49"/>
  <c r="T105" i="49"/>
  <c r="H105" i="49"/>
  <c r="H102" i="49" s="1"/>
  <c r="U104" i="49"/>
  <c r="T104" i="49"/>
  <c r="H104" i="49"/>
  <c r="S103" i="49"/>
  <c r="R103" i="49"/>
  <c r="U103" i="49" s="1"/>
  <c r="Q103" i="49"/>
  <c r="T103" i="49" s="1"/>
  <c r="P103" i="49"/>
  <c r="O103" i="49"/>
  <c r="N103" i="49"/>
  <c r="L103" i="49"/>
  <c r="U101" i="49"/>
  <c r="T101" i="49"/>
  <c r="U100" i="49"/>
  <c r="T100" i="49"/>
  <c r="H100" i="49"/>
  <c r="S99" i="49"/>
  <c r="R99" i="49"/>
  <c r="U99" i="49" s="1"/>
  <c r="Q99" i="49"/>
  <c r="T99" i="49" s="1"/>
  <c r="P99" i="49"/>
  <c r="N99" i="49"/>
  <c r="O99" i="49" s="1"/>
  <c r="L99" i="49"/>
  <c r="U97" i="49"/>
  <c r="T97" i="49"/>
  <c r="S96" i="49"/>
  <c r="R96" i="49"/>
  <c r="U96" i="49" s="1"/>
  <c r="Q96" i="49"/>
  <c r="O96" i="49" s="1"/>
  <c r="P96" i="49"/>
  <c r="N96" i="49"/>
  <c r="L96" i="49"/>
  <c r="U95" i="49"/>
  <c r="T95" i="49"/>
  <c r="U94" i="49"/>
  <c r="T94" i="49"/>
  <c r="S93" i="49"/>
  <c r="R93" i="49"/>
  <c r="U93" i="49" s="1"/>
  <c r="Q93" i="49"/>
  <c r="T93" i="49" s="1"/>
  <c r="P93" i="49"/>
  <c r="N93" i="49"/>
  <c r="O93" i="49" s="1"/>
  <c r="U91" i="49"/>
  <c r="T91" i="49"/>
  <c r="U90" i="49"/>
  <c r="T90" i="49"/>
  <c r="S89" i="49"/>
  <c r="R89" i="49"/>
  <c r="T89" i="49" s="1"/>
  <c r="Q89" i="49"/>
  <c r="P89" i="49"/>
  <c r="O89" i="49"/>
  <c r="N89" i="49"/>
  <c r="L89" i="49"/>
  <c r="U88" i="49"/>
  <c r="T88" i="49"/>
  <c r="U87" i="49"/>
  <c r="S87" i="49"/>
  <c r="R87" i="49"/>
  <c r="Q87" i="49"/>
  <c r="T87" i="49" s="1"/>
  <c r="P87" i="49"/>
  <c r="N87" i="49"/>
  <c r="O87" i="49" s="1"/>
  <c r="L87" i="49"/>
  <c r="U86" i="49"/>
  <c r="T86" i="49"/>
  <c r="S85" i="49"/>
  <c r="R85" i="49"/>
  <c r="U85" i="49" s="1"/>
  <c r="Q85" i="49"/>
  <c r="O85" i="49" s="1"/>
  <c r="P85" i="49"/>
  <c r="N85" i="49"/>
  <c r="L85" i="49"/>
  <c r="U84" i="49"/>
  <c r="T84" i="49"/>
  <c r="T83" i="49"/>
  <c r="S83" i="49"/>
  <c r="U83" i="49" s="1"/>
  <c r="R83" i="49"/>
  <c r="Q83" i="49"/>
  <c r="O83" i="49" s="1"/>
  <c r="P83" i="49"/>
  <c r="N83" i="49"/>
  <c r="L83" i="49"/>
  <c r="U82" i="49"/>
  <c r="T82" i="49"/>
  <c r="U81" i="49"/>
  <c r="T81" i="49"/>
  <c r="S80" i="49"/>
  <c r="R80" i="49"/>
  <c r="U80" i="49" s="1"/>
  <c r="Q80" i="49"/>
  <c r="O80" i="49" s="1"/>
  <c r="P80" i="49"/>
  <c r="N80" i="49"/>
  <c r="L80" i="49"/>
  <c r="U79" i="49"/>
  <c r="T79" i="49"/>
  <c r="H79" i="49"/>
  <c r="H74" i="49" s="1"/>
  <c r="U78" i="49"/>
  <c r="T78" i="49"/>
  <c r="S78" i="49"/>
  <c r="R78" i="49"/>
  <c r="Q78" i="49"/>
  <c r="P78" i="49"/>
  <c r="N78" i="49"/>
  <c r="O78" i="49" s="1"/>
  <c r="L78" i="49"/>
  <c r="U77" i="49"/>
  <c r="T77" i="49"/>
  <c r="U76" i="49"/>
  <c r="T76" i="49"/>
  <c r="S75" i="49"/>
  <c r="R75" i="49"/>
  <c r="U75" i="49" s="1"/>
  <c r="Q75" i="49"/>
  <c r="O75" i="49" s="1"/>
  <c r="P75" i="49"/>
  <c r="N75" i="49"/>
  <c r="L75" i="49"/>
  <c r="U73" i="49"/>
  <c r="T73" i="49"/>
  <c r="H73" i="49"/>
  <c r="S72" i="49"/>
  <c r="R72" i="49"/>
  <c r="U72" i="49" s="1"/>
  <c r="Q72" i="49"/>
  <c r="T72" i="49" s="1"/>
  <c r="P72" i="49"/>
  <c r="N72" i="49"/>
  <c r="O72" i="49" s="1"/>
  <c r="L72" i="49"/>
  <c r="U68" i="49"/>
  <c r="T68" i="49"/>
  <c r="H68" i="49"/>
  <c r="S67" i="49"/>
  <c r="R67" i="49"/>
  <c r="T67" i="49" s="1"/>
  <c r="Q67" i="49"/>
  <c r="P67" i="49"/>
  <c r="O67" i="49"/>
  <c r="N67" i="49"/>
  <c r="L67" i="49"/>
  <c r="U66" i="49"/>
  <c r="T66" i="49"/>
  <c r="H66" i="49"/>
  <c r="S65" i="49"/>
  <c r="R65" i="49"/>
  <c r="U65" i="49" s="1"/>
  <c r="Q65" i="49"/>
  <c r="T65" i="49" s="1"/>
  <c r="P65" i="49"/>
  <c r="N65" i="49"/>
  <c r="O65" i="49" s="1"/>
  <c r="L65" i="49"/>
  <c r="U64" i="49"/>
  <c r="T64" i="49"/>
  <c r="H64" i="49"/>
  <c r="S63" i="49"/>
  <c r="R63" i="49"/>
  <c r="U63" i="49" s="1"/>
  <c r="Q63" i="49"/>
  <c r="P63" i="49"/>
  <c r="O63" i="49"/>
  <c r="N63" i="49"/>
  <c r="L63" i="49"/>
  <c r="U62" i="49"/>
  <c r="T62" i="49"/>
  <c r="H62" i="49"/>
  <c r="S61" i="49"/>
  <c r="R61" i="49"/>
  <c r="U61" i="49" s="1"/>
  <c r="Q61" i="49"/>
  <c r="T61" i="49" s="1"/>
  <c r="P61" i="49"/>
  <c r="N61" i="49"/>
  <c r="O61" i="49" s="1"/>
  <c r="L61" i="49"/>
  <c r="U60" i="49"/>
  <c r="T60" i="49"/>
  <c r="H60" i="49"/>
  <c r="S59" i="49"/>
  <c r="R59" i="49"/>
  <c r="U59" i="49" s="1"/>
  <c r="Q59" i="49"/>
  <c r="P59" i="49"/>
  <c r="O59" i="49"/>
  <c r="N59" i="49"/>
  <c r="L59" i="49"/>
  <c r="U58" i="49"/>
  <c r="T58" i="49"/>
  <c r="H58" i="49"/>
  <c r="S57" i="49"/>
  <c r="R57" i="49"/>
  <c r="U57" i="49" s="1"/>
  <c r="Q57" i="49"/>
  <c r="T57" i="49" s="1"/>
  <c r="P57" i="49"/>
  <c r="N57" i="49"/>
  <c r="O57" i="49" s="1"/>
  <c r="L57" i="49"/>
  <c r="U56" i="49"/>
  <c r="T56" i="49"/>
  <c r="H56" i="49"/>
  <c r="S55" i="49"/>
  <c r="R55" i="49"/>
  <c r="U55" i="49" s="1"/>
  <c r="Q55" i="49"/>
  <c r="P55" i="49"/>
  <c r="O55" i="49"/>
  <c r="N55" i="49"/>
  <c r="L55" i="49"/>
  <c r="U54" i="49"/>
  <c r="T54" i="49"/>
  <c r="H54" i="49"/>
  <c r="S53" i="49"/>
  <c r="R53" i="49"/>
  <c r="U53" i="49" s="1"/>
  <c r="Q53" i="49"/>
  <c r="T53" i="49" s="1"/>
  <c r="P53" i="49"/>
  <c r="N53" i="49"/>
  <c r="O53" i="49" s="1"/>
  <c r="L53" i="49"/>
  <c r="U52" i="49"/>
  <c r="T52" i="49"/>
  <c r="H52" i="49"/>
  <c r="S51" i="49"/>
  <c r="R51" i="49"/>
  <c r="T51" i="49" s="1"/>
  <c r="Q51" i="49"/>
  <c r="P51" i="49"/>
  <c r="O51" i="49"/>
  <c r="N51" i="49"/>
  <c r="L51" i="49"/>
  <c r="U50" i="49"/>
  <c r="T50" i="49"/>
  <c r="H50" i="49"/>
  <c r="S49" i="49"/>
  <c r="R49" i="49"/>
  <c r="U49" i="49" s="1"/>
  <c r="Q49" i="49"/>
  <c r="T49" i="49" s="1"/>
  <c r="P49" i="49"/>
  <c r="N49" i="49"/>
  <c r="O49" i="49" s="1"/>
  <c r="L49" i="49"/>
  <c r="U48" i="49"/>
  <c r="T48" i="49"/>
  <c r="H48" i="49"/>
  <c r="S47" i="49"/>
  <c r="R47" i="49"/>
  <c r="U47" i="49" s="1"/>
  <c r="Q47" i="49"/>
  <c r="P47" i="49"/>
  <c r="O47" i="49"/>
  <c r="N47" i="49"/>
  <c r="L47" i="49"/>
  <c r="U46" i="49"/>
  <c r="T46" i="49"/>
  <c r="H46" i="49"/>
  <c r="S45" i="49"/>
  <c r="R45" i="49"/>
  <c r="U45" i="49" s="1"/>
  <c r="Q45" i="49"/>
  <c r="T45" i="49" s="1"/>
  <c r="P45" i="49"/>
  <c r="N45" i="49"/>
  <c r="O45" i="49" s="1"/>
  <c r="L45" i="49"/>
  <c r="U44" i="49"/>
  <c r="T44" i="49"/>
  <c r="H44" i="49"/>
  <c r="S43" i="49"/>
  <c r="R43" i="49"/>
  <c r="U43" i="49" s="1"/>
  <c r="Q43" i="49"/>
  <c r="P43" i="49"/>
  <c r="O43" i="49"/>
  <c r="N43" i="49"/>
  <c r="L43" i="49"/>
  <c r="U42" i="49"/>
  <c r="T42" i="49"/>
  <c r="H42" i="49"/>
  <c r="H40" i="49" s="1"/>
  <c r="S41" i="49"/>
  <c r="R41" i="49"/>
  <c r="U41" i="49" s="1"/>
  <c r="Q41" i="49"/>
  <c r="T41" i="49" s="1"/>
  <c r="P41" i="49"/>
  <c r="N41" i="49"/>
  <c r="O41" i="49" s="1"/>
  <c r="L41" i="49"/>
  <c r="U37" i="49"/>
  <c r="T37" i="49"/>
  <c r="H37" i="49"/>
  <c r="U36" i="49"/>
  <c r="T36" i="49"/>
  <c r="U35" i="49"/>
  <c r="T35" i="49"/>
  <c r="H35" i="49"/>
  <c r="H34" i="49" s="1"/>
  <c r="S34" i="49"/>
  <c r="R34" i="49"/>
  <c r="U34" i="49" s="1"/>
  <c r="Q34" i="49"/>
  <c r="O34" i="49" s="1"/>
  <c r="P34" i="49"/>
  <c r="P171" i="49" s="1"/>
  <c r="N34" i="49"/>
  <c r="L34" i="49"/>
  <c r="U30" i="49"/>
  <c r="T30" i="49"/>
  <c r="H30" i="49"/>
  <c r="U29" i="49"/>
  <c r="T29" i="49"/>
  <c r="U28" i="49"/>
  <c r="T28" i="49"/>
  <c r="S27" i="49"/>
  <c r="R27" i="49"/>
  <c r="U27" i="49" s="1"/>
  <c r="Q27" i="49"/>
  <c r="O27" i="49" s="1"/>
  <c r="P27" i="49"/>
  <c r="N27" i="49"/>
  <c r="L27" i="49"/>
  <c r="U24" i="49"/>
  <c r="T24" i="49"/>
  <c r="U23" i="49"/>
  <c r="T23" i="49"/>
  <c r="H23" i="49"/>
  <c r="S22" i="49"/>
  <c r="R22" i="49"/>
  <c r="U22" i="49" s="1"/>
  <c r="Q22" i="49"/>
  <c r="T22" i="49" s="1"/>
  <c r="P22" i="49"/>
  <c r="O22" i="49"/>
  <c r="N22" i="49"/>
  <c r="L22" i="49"/>
  <c r="U19" i="49"/>
  <c r="T19" i="49"/>
  <c r="H19" i="49"/>
  <c r="U18" i="49"/>
  <c r="T18" i="49"/>
  <c r="U17" i="49"/>
  <c r="S17" i="49"/>
  <c r="R17" i="49"/>
  <c r="Q17" i="49"/>
  <c r="T17" i="49" s="1"/>
  <c r="P17" i="49"/>
  <c r="N17" i="49"/>
  <c r="O17" i="49" s="1"/>
  <c r="L17" i="49"/>
  <c r="K17" i="49"/>
  <c r="U12" i="49"/>
  <c r="T12" i="49"/>
  <c r="S11" i="49"/>
  <c r="S171" i="49" s="1"/>
  <c r="R11" i="49"/>
  <c r="U11" i="49" s="1"/>
  <c r="Q11" i="49"/>
  <c r="O11" i="49" s="1"/>
  <c r="P11" i="49"/>
  <c r="N11" i="49"/>
  <c r="L11" i="49"/>
  <c r="K11" i="49"/>
  <c r="U62" i="61"/>
  <c r="T62" i="61"/>
  <c r="C62" i="61"/>
  <c r="U50" i="59"/>
  <c r="T50" i="59"/>
  <c r="O145" i="41"/>
  <c r="O144" i="41"/>
  <c r="G144" i="41"/>
  <c r="U51" i="47"/>
  <c r="T51" i="47"/>
  <c r="O52" i="47"/>
  <c r="O51" i="47"/>
  <c r="G51" i="47"/>
  <c r="O24" i="46"/>
  <c r="O16" i="45"/>
  <c r="O23" i="46"/>
  <c r="G23" i="46"/>
  <c r="U46" i="42"/>
  <c r="T46" i="42"/>
  <c r="C46" i="42"/>
  <c r="C23" i="43"/>
  <c r="O23" i="43"/>
  <c r="T23" i="43"/>
  <c r="O224" i="50" l="1"/>
  <c r="O225" i="50"/>
  <c r="E224" i="50"/>
  <c r="T47" i="50"/>
  <c r="T53" i="50"/>
  <c r="T69" i="50"/>
  <c r="T92" i="50"/>
  <c r="T169" i="50"/>
  <c r="T180" i="50"/>
  <c r="Q224" i="50"/>
  <c r="T224" i="50" s="1"/>
  <c r="U210" i="50"/>
  <c r="T20" i="50"/>
  <c r="T33" i="50"/>
  <c r="T110" i="50"/>
  <c r="T115" i="50"/>
  <c r="T120" i="50"/>
  <c r="T125" i="50"/>
  <c r="T130" i="50"/>
  <c r="T135" i="50"/>
  <c r="T145" i="50"/>
  <c r="T151" i="50"/>
  <c r="T161" i="50"/>
  <c r="T166" i="50"/>
  <c r="T176" i="50"/>
  <c r="T197" i="50"/>
  <c r="T136" i="53"/>
  <c r="T147" i="53"/>
  <c r="T158" i="53"/>
  <c r="T173" i="53"/>
  <c r="T186" i="53"/>
  <c r="T202" i="53"/>
  <c r="T212" i="53"/>
  <c r="T289" i="53"/>
  <c r="T295" i="53"/>
  <c r="Q299" i="53"/>
  <c r="T27" i="53"/>
  <c r="U11" i="53"/>
  <c r="U72" i="53"/>
  <c r="U86" i="53"/>
  <c r="R299" i="53"/>
  <c r="T38" i="53"/>
  <c r="T90" i="53"/>
  <c r="T110" i="53"/>
  <c r="T114" i="53"/>
  <c r="T144" i="53"/>
  <c r="T155" i="53"/>
  <c r="T190" i="53"/>
  <c r="T228" i="53"/>
  <c r="T235" i="53"/>
  <c r="T260" i="53"/>
  <c r="T285" i="53"/>
  <c r="O172" i="49"/>
  <c r="G171" i="49"/>
  <c r="O171" i="49"/>
  <c r="T43" i="49"/>
  <c r="T47" i="49"/>
  <c r="T55" i="49"/>
  <c r="T59" i="49"/>
  <c r="T63" i="49"/>
  <c r="Q171" i="49"/>
  <c r="T171" i="49" s="1"/>
  <c r="T11" i="49"/>
  <c r="T27" i="49"/>
  <c r="U51" i="49"/>
  <c r="U67" i="49"/>
  <c r="T75" i="49"/>
  <c r="U89" i="49"/>
  <c r="T96" i="49"/>
  <c r="U132" i="49"/>
  <c r="T138" i="49"/>
  <c r="T142" i="49"/>
  <c r="U155" i="49"/>
  <c r="R171" i="49"/>
  <c r="U171" i="49" s="1"/>
  <c r="T34" i="49"/>
  <c r="T80" i="49"/>
  <c r="T85" i="49"/>
  <c r="T106" i="49"/>
  <c r="T110" i="49"/>
  <c r="T114" i="49"/>
  <c r="T118" i="49"/>
  <c r="T128" i="49"/>
  <c r="Q17" i="77" l="1"/>
  <c r="P17" i="77"/>
  <c r="C17" i="77"/>
  <c r="U15" i="77"/>
  <c r="T15" i="77"/>
  <c r="N15" i="77"/>
  <c r="U14" i="77"/>
  <c r="T14" i="77"/>
  <c r="N14" i="77"/>
  <c r="N11" i="77" s="1"/>
  <c r="O11" i="77" s="1"/>
  <c r="U13" i="77"/>
  <c r="T13" i="77"/>
  <c r="N13" i="77"/>
  <c r="U12" i="77"/>
  <c r="T12" i="77"/>
  <c r="U11" i="77"/>
  <c r="S11" i="77"/>
  <c r="S17" i="77" s="1"/>
  <c r="R11" i="77"/>
  <c r="T11" i="77" s="1"/>
  <c r="L11" i="77"/>
  <c r="K11" i="77"/>
  <c r="H17" i="77" l="1"/>
  <c r="O17" i="77"/>
  <c r="O18" i="77"/>
  <c r="R17" i="77"/>
  <c r="U17" i="77" s="1"/>
  <c r="T17" i="77" l="1"/>
  <c r="C29" i="66" l="1"/>
  <c r="U27" i="66"/>
  <c r="T27" i="66"/>
  <c r="U26" i="66"/>
  <c r="T26" i="66"/>
  <c r="U25" i="66"/>
  <c r="T25" i="66"/>
  <c r="S24" i="66"/>
  <c r="U24" i="66" s="1"/>
  <c r="R24" i="66"/>
  <c r="Q24" i="66"/>
  <c r="T24" i="66" s="1"/>
  <c r="P24" i="66"/>
  <c r="N24" i="66"/>
  <c r="L24" i="66"/>
  <c r="K24" i="66"/>
  <c r="H24" i="66"/>
  <c r="U22" i="66"/>
  <c r="T22" i="66"/>
  <c r="S21" i="66"/>
  <c r="R21" i="66"/>
  <c r="U21" i="66" s="1"/>
  <c r="Q21" i="66"/>
  <c r="T21" i="66" s="1"/>
  <c r="P21" i="66"/>
  <c r="N21" i="66"/>
  <c r="L21" i="66"/>
  <c r="K21" i="66"/>
  <c r="H21" i="66"/>
  <c r="U20" i="66"/>
  <c r="T20" i="66"/>
  <c r="S19" i="66"/>
  <c r="R19" i="66"/>
  <c r="U19" i="66" s="1"/>
  <c r="Q19" i="66"/>
  <c r="P19" i="66"/>
  <c r="N19" i="66"/>
  <c r="L19" i="66"/>
  <c r="H19" i="66"/>
  <c r="U18" i="66"/>
  <c r="T18" i="66"/>
  <c r="U17" i="66"/>
  <c r="T17" i="66"/>
  <c r="U16" i="66"/>
  <c r="S16" i="66"/>
  <c r="R16" i="66"/>
  <c r="Q16" i="66"/>
  <c r="T16" i="66" s="1"/>
  <c r="P16" i="66"/>
  <c r="N16" i="66"/>
  <c r="L16" i="66"/>
  <c r="K16" i="66"/>
  <c r="H16" i="66"/>
  <c r="U14" i="66"/>
  <c r="T14" i="66"/>
  <c r="U13" i="66"/>
  <c r="T13" i="66"/>
  <c r="U12" i="66"/>
  <c r="T12" i="66"/>
  <c r="O12" i="66"/>
  <c r="S11" i="66"/>
  <c r="R11" i="66"/>
  <c r="U11" i="66" s="1"/>
  <c r="Q11" i="66"/>
  <c r="P11" i="66"/>
  <c r="N11" i="66"/>
  <c r="M11" i="66"/>
  <c r="L11" i="66"/>
  <c r="K11" i="66"/>
  <c r="H11" i="66"/>
  <c r="F10" i="66"/>
  <c r="C55" i="65"/>
  <c r="U53" i="65"/>
  <c r="T53" i="65"/>
  <c r="S52" i="65"/>
  <c r="R52" i="65"/>
  <c r="U52" i="65" s="1"/>
  <c r="Q52" i="65"/>
  <c r="O52" i="65" s="1"/>
  <c r="P52" i="65"/>
  <c r="N52" i="65"/>
  <c r="L52" i="65"/>
  <c r="H51" i="65"/>
  <c r="U50" i="65"/>
  <c r="T50" i="65"/>
  <c r="N50" i="65"/>
  <c r="U49" i="65"/>
  <c r="T49" i="65"/>
  <c r="N49" i="65"/>
  <c r="S48" i="65"/>
  <c r="R48" i="65"/>
  <c r="U48" i="65" s="1"/>
  <c r="Q48" i="65"/>
  <c r="O48" i="65" s="1"/>
  <c r="P48" i="65"/>
  <c r="N48" i="65"/>
  <c r="L48" i="65"/>
  <c r="K48" i="65"/>
  <c r="H48" i="65"/>
  <c r="U46" i="65"/>
  <c r="T46" i="65"/>
  <c r="U45" i="65"/>
  <c r="T45" i="65"/>
  <c r="U44" i="65"/>
  <c r="T44" i="65"/>
  <c r="N44" i="65"/>
  <c r="T43" i="65"/>
  <c r="S43" i="65"/>
  <c r="R43" i="65"/>
  <c r="U43" i="65" s="1"/>
  <c r="Q43" i="65"/>
  <c r="P43" i="65"/>
  <c r="N43" i="65"/>
  <c r="O43" i="65" s="1"/>
  <c r="L43" i="65"/>
  <c r="H43" i="65"/>
  <c r="U39" i="65"/>
  <c r="T39" i="65"/>
  <c r="U38" i="65"/>
  <c r="T38" i="65"/>
  <c r="S37" i="65"/>
  <c r="R37" i="65"/>
  <c r="U37" i="65" s="1"/>
  <c r="Q37" i="65"/>
  <c r="O37" i="65" s="1"/>
  <c r="P37" i="65"/>
  <c r="N37" i="65"/>
  <c r="M37" i="65"/>
  <c r="L37" i="65"/>
  <c r="K37" i="65"/>
  <c r="H36" i="65"/>
  <c r="U34" i="65"/>
  <c r="T34" i="65"/>
  <c r="U33" i="65"/>
  <c r="T33" i="65"/>
  <c r="S32" i="65"/>
  <c r="R32" i="65"/>
  <c r="U32" i="65" s="1"/>
  <c r="Q32" i="65"/>
  <c r="O32" i="65" s="1"/>
  <c r="P32" i="65"/>
  <c r="N32" i="65"/>
  <c r="L32" i="65"/>
  <c r="K32" i="65"/>
  <c r="H32" i="65"/>
  <c r="K31" i="65"/>
  <c r="H31" i="65"/>
  <c r="U28" i="65"/>
  <c r="T28" i="65"/>
  <c r="U27" i="65"/>
  <c r="T27" i="65"/>
  <c r="U26" i="65"/>
  <c r="T26" i="65"/>
  <c r="U25" i="65"/>
  <c r="T25" i="65"/>
  <c r="S24" i="65"/>
  <c r="U24" i="65" s="1"/>
  <c r="R24" i="65"/>
  <c r="Q24" i="65"/>
  <c r="T24" i="65" s="1"/>
  <c r="P24" i="65"/>
  <c r="O24" i="65"/>
  <c r="N24" i="65"/>
  <c r="M24" i="65"/>
  <c r="L24" i="65"/>
  <c r="K24" i="65"/>
  <c r="H23" i="65"/>
  <c r="U19" i="65"/>
  <c r="T19" i="65"/>
  <c r="N19" i="65"/>
  <c r="S18" i="65"/>
  <c r="R18" i="65"/>
  <c r="U18" i="65" s="1"/>
  <c r="Q18" i="65"/>
  <c r="O18" i="65" s="1"/>
  <c r="P18" i="65"/>
  <c r="N18" i="65"/>
  <c r="M18" i="65"/>
  <c r="L18" i="65"/>
  <c r="K18" i="65"/>
  <c r="H18" i="65"/>
  <c r="U17" i="65"/>
  <c r="T17" i="65"/>
  <c r="U16" i="65"/>
  <c r="T16" i="65"/>
  <c r="N16" i="65"/>
  <c r="S15" i="65"/>
  <c r="U15" i="65" s="1"/>
  <c r="R15" i="65"/>
  <c r="Q15" i="65"/>
  <c r="T15" i="65" s="1"/>
  <c r="P15" i="65"/>
  <c r="O15" i="65"/>
  <c r="N15" i="65"/>
  <c r="L15" i="65"/>
  <c r="K15" i="65"/>
  <c r="H15" i="65"/>
  <c r="M14" i="65"/>
  <c r="K14" i="65"/>
  <c r="H14" i="65"/>
  <c r="U13" i="65"/>
  <c r="T13" i="65"/>
  <c r="U12" i="65"/>
  <c r="T12" i="65"/>
  <c r="N12" i="65"/>
  <c r="N11" i="65" s="1"/>
  <c r="S11" i="65"/>
  <c r="R11" i="65"/>
  <c r="R55" i="65" s="1"/>
  <c r="Q11" i="65"/>
  <c r="Q55" i="65" s="1"/>
  <c r="P11" i="65"/>
  <c r="P55" i="65" s="1"/>
  <c r="L11" i="65"/>
  <c r="K11" i="65"/>
  <c r="H11" i="65"/>
  <c r="H10" i="65"/>
  <c r="P29" i="66" l="1"/>
  <c r="O19" i="66"/>
  <c r="R29" i="66"/>
  <c r="S29" i="66"/>
  <c r="U29" i="66"/>
  <c r="U30" i="66"/>
  <c r="O30" i="66"/>
  <c r="T11" i="66"/>
  <c r="T19" i="66"/>
  <c r="O21" i="66"/>
  <c r="Q29" i="66"/>
  <c r="O17" i="66"/>
  <c r="O29" i="66" s="1"/>
  <c r="O25" i="66"/>
  <c r="T55" i="65"/>
  <c r="S55" i="65"/>
  <c r="U55" i="65" s="1"/>
  <c r="O11" i="65"/>
  <c r="T11" i="65"/>
  <c r="T18" i="65"/>
  <c r="T32" i="65"/>
  <c r="T37" i="65"/>
  <c r="T48" i="65"/>
  <c r="T52" i="65"/>
  <c r="U11" i="65"/>
  <c r="G29" i="66" l="1"/>
  <c r="T30" i="66"/>
  <c r="T29" i="66"/>
  <c r="O56" i="65"/>
  <c r="G55" i="65"/>
  <c r="O55" i="65"/>
  <c r="C54" i="64" l="1"/>
  <c r="U52" i="64"/>
  <c r="T52" i="64"/>
  <c r="S51" i="64"/>
  <c r="R51" i="64"/>
  <c r="U51" i="64" s="1"/>
  <c r="Q51" i="64"/>
  <c r="P51" i="64"/>
  <c r="O51" i="64"/>
  <c r="N51" i="64"/>
  <c r="M51" i="64"/>
  <c r="L51" i="64"/>
  <c r="K51" i="64"/>
  <c r="U46" i="64"/>
  <c r="T46" i="64"/>
  <c r="U45" i="64"/>
  <c r="T45" i="64"/>
  <c r="U44" i="64"/>
  <c r="S44" i="64"/>
  <c r="R44" i="64"/>
  <c r="Q44" i="64"/>
  <c r="T44" i="64" s="1"/>
  <c r="P44" i="64"/>
  <c r="N44" i="64"/>
  <c r="M44" i="64"/>
  <c r="L44" i="64"/>
  <c r="K44" i="64"/>
  <c r="U42" i="64"/>
  <c r="T42" i="64"/>
  <c r="S41" i="64"/>
  <c r="R41" i="64"/>
  <c r="U41" i="64" s="1"/>
  <c r="Q41" i="64"/>
  <c r="P41" i="64"/>
  <c r="O41" i="64"/>
  <c r="M41" i="64"/>
  <c r="L41" i="64"/>
  <c r="K41" i="64"/>
  <c r="U39" i="64"/>
  <c r="T39" i="64"/>
  <c r="O39" i="64"/>
  <c r="U38" i="64"/>
  <c r="S38" i="64"/>
  <c r="R38" i="64"/>
  <c r="Q38" i="64"/>
  <c r="T38" i="64" s="1"/>
  <c r="P38" i="64"/>
  <c r="M38" i="64"/>
  <c r="U37" i="64"/>
  <c r="T37" i="64"/>
  <c r="T36" i="64"/>
  <c r="S36" i="64"/>
  <c r="R36" i="64"/>
  <c r="U36" i="64" s="1"/>
  <c r="Q36" i="64"/>
  <c r="P36" i="64"/>
  <c r="O36" i="64"/>
  <c r="N36" i="64"/>
  <c r="M36" i="64"/>
  <c r="L36" i="64"/>
  <c r="K36" i="64"/>
  <c r="F35" i="64"/>
  <c r="U34" i="64"/>
  <c r="T34" i="64"/>
  <c r="S33" i="64"/>
  <c r="R33" i="64"/>
  <c r="U33" i="64" s="1"/>
  <c r="Q33" i="64"/>
  <c r="P33" i="64"/>
  <c r="O33" i="64"/>
  <c r="L33" i="64"/>
  <c r="U32" i="64"/>
  <c r="T32" i="64"/>
  <c r="S31" i="64"/>
  <c r="R31" i="64"/>
  <c r="U31" i="64" s="1"/>
  <c r="Q31" i="64"/>
  <c r="P31" i="64"/>
  <c r="O31" i="64"/>
  <c r="L31" i="64"/>
  <c r="U30" i="64"/>
  <c r="T30" i="64"/>
  <c r="S29" i="64"/>
  <c r="R29" i="64"/>
  <c r="U29" i="64" s="1"/>
  <c r="Q29" i="64"/>
  <c r="P29" i="64"/>
  <c r="O29" i="64"/>
  <c r="L29" i="64"/>
  <c r="F28" i="64"/>
  <c r="U27" i="64"/>
  <c r="T27" i="64"/>
  <c r="U26" i="64"/>
  <c r="S26" i="64"/>
  <c r="R26" i="64"/>
  <c r="Q26" i="64"/>
  <c r="T26" i="64" s="1"/>
  <c r="P26" i="64"/>
  <c r="O26" i="64"/>
  <c r="N26" i="64"/>
  <c r="M26" i="64"/>
  <c r="L26" i="64"/>
  <c r="K26" i="64"/>
  <c r="H26" i="64"/>
  <c r="U25" i="64"/>
  <c r="T25" i="64"/>
  <c r="U24" i="64"/>
  <c r="S24" i="64"/>
  <c r="R24" i="64"/>
  <c r="Q24" i="64"/>
  <c r="T24" i="64" s="1"/>
  <c r="P24" i="64"/>
  <c r="O24" i="64"/>
  <c r="N24" i="64"/>
  <c r="M24" i="64"/>
  <c r="L24" i="64"/>
  <c r="K24" i="64"/>
  <c r="H24" i="64"/>
  <c r="U23" i="64"/>
  <c r="T23" i="64"/>
  <c r="U22" i="64"/>
  <c r="S22" i="64"/>
  <c r="R22" i="64"/>
  <c r="Q22" i="64"/>
  <c r="T22" i="64" s="1"/>
  <c r="P22" i="64"/>
  <c r="O22" i="64"/>
  <c r="N22" i="64"/>
  <c r="M22" i="64"/>
  <c r="L22" i="64"/>
  <c r="K22" i="64"/>
  <c r="H22" i="64"/>
  <c r="U20" i="64"/>
  <c r="T20" i="64"/>
  <c r="U19" i="64"/>
  <c r="T19" i="64"/>
  <c r="U18" i="64"/>
  <c r="S18" i="64"/>
  <c r="R18" i="64"/>
  <c r="Q18" i="64"/>
  <c r="T18" i="64" s="1"/>
  <c r="P18" i="64"/>
  <c r="N18" i="64"/>
  <c r="M18" i="64"/>
  <c r="L18" i="64"/>
  <c r="K18" i="64"/>
  <c r="H18" i="64"/>
  <c r="U12" i="64"/>
  <c r="T12" i="64"/>
  <c r="O12" i="64"/>
  <c r="T11" i="64"/>
  <c r="S11" i="64"/>
  <c r="S54" i="64" s="1"/>
  <c r="R11" i="64"/>
  <c r="R54" i="64" s="1"/>
  <c r="Q11" i="64"/>
  <c r="Q54" i="64" s="1"/>
  <c r="P11" i="64"/>
  <c r="P54" i="64" s="1"/>
  <c r="N11" i="64"/>
  <c r="O11" i="64" s="1"/>
  <c r="M11" i="64"/>
  <c r="L11" i="64"/>
  <c r="K11" i="64"/>
  <c r="H11" i="64"/>
  <c r="T54" i="64" l="1"/>
  <c r="U54" i="64"/>
  <c r="T31" i="64"/>
  <c r="U11" i="64"/>
  <c r="T33" i="64"/>
  <c r="T41" i="64"/>
  <c r="O44" i="64"/>
  <c r="T51" i="64"/>
  <c r="O18" i="64"/>
  <c r="O55" i="64" s="1"/>
  <c r="T29" i="64"/>
  <c r="O54" i="64" l="1"/>
  <c r="G54" i="64"/>
  <c r="C154" i="63" l="1"/>
  <c r="U153" i="63"/>
  <c r="T153" i="63"/>
  <c r="U152" i="63"/>
  <c r="T152" i="63"/>
  <c r="H152" i="63"/>
  <c r="S151" i="63"/>
  <c r="R151" i="63"/>
  <c r="T151" i="63" s="1"/>
  <c r="Q151" i="63"/>
  <c r="P151" i="63"/>
  <c r="N151" i="63"/>
  <c r="O151" i="63" s="1"/>
  <c r="M151" i="63"/>
  <c r="L151" i="63"/>
  <c r="K151" i="63"/>
  <c r="F150" i="63" s="1"/>
  <c r="H151" i="63"/>
  <c r="H150" i="63" s="1"/>
  <c r="U148" i="63"/>
  <c r="T148" i="63"/>
  <c r="U147" i="63"/>
  <c r="T147" i="63"/>
  <c r="H147" i="63"/>
  <c r="U146" i="63"/>
  <c r="S146" i="63"/>
  <c r="R146" i="63"/>
  <c r="Q146" i="63"/>
  <c r="O146" i="63" s="1"/>
  <c r="P146" i="63"/>
  <c r="N146" i="63"/>
  <c r="M146" i="63"/>
  <c r="L146" i="63"/>
  <c r="K146" i="63"/>
  <c r="H146" i="63"/>
  <c r="H145" i="63" s="1"/>
  <c r="K145" i="63"/>
  <c r="F145" i="63"/>
  <c r="U141" i="63"/>
  <c r="T141" i="63"/>
  <c r="H141" i="63"/>
  <c r="T140" i="63"/>
  <c r="S140" i="63"/>
  <c r="U140" i="63" s="1"/>
  <c r="R140" i="63"/>
  <c r="Q140" i="63"/>
  <c r="P140" i="63"/>
  <c r="O140" i="63"/>
  <c r="N140" i="63"/>
  <c r="M140" i="63"/>
  <c r="L140" i="63"/>
  <c r="K140" i="63"/>
  <c r="F135" i="63" s="1"/>
  <c r="H140" i="63"/>
  <c r="U139" i="63"/>
  <c r="T139" i="63"/>
  <c r="U138" i="63"/>
  <c r="T138" i="63"/>
  <c r="U137" i="63"/>
  <c r="T137" i="63"/>
  <c r="H137" i="63"/>
  <c r="S136" i="63"/>
  <c r="R136" i="63"/>
  <c r="T136" i="63" s="1"/>
  <c r="Q136" i="63"/>
  <c r="P136" i="63"/>
  <c r="N136" i="63"/>
  <c r="O136" i="63" s="1"/>
  <c r="M136" i="63"/>
  <c r="L136" i="63"/>
  <c r="K136" i="63"/>
  <c r="K135" i="63" s="1"/>
  <c r="H136" i="63"/>
  <c r="H135" i="63" s="1"/>
  <c r="U131" i="63"/>
  <c r="T131" i="63"/>
  <c r="H131" i="63"/>
  <c r="U130" i="63"/>
  <c r="T130" i="63"/>
  <c r="S130" i="63"/>
  <c r="R130" i="63"/>
  <c r="Q130" i="63"/>
  <c r="O130" i="63" s="1"/>
  <c r="P130" i="63"/>
  <c r="N130" i="63"/>
  <c r="M130" i="63"/>
  <c r="L130" i="63"/>
  <c r="K130" i="63"/>
  <c r="H130" i="63"/>
  <c r="K129" i="63"/>
  <c r="H129" i="63"/>
  <c r="F129" i="63"/>
  <c r="U128" i="63"/>
  <c r="T128" i="63"/>
  <c r="U127" i="63"/>
  <c r="T127" i="63"/>
  <c r="T126" i="63"/>
  <c r="S126" i="63"/>
  <c r="U126" i="63" s="1"/>
  <c r="R126" i="63"/>
  <c r="Q126" i="63"/>
  <c r="P126" i="63"/>
  <c r="O126" i="63"/>
  <c r="N126" i="63"/>
  <c r="M126" i="63"/>
  <c r="L126" i="63"/>
  <c r="K126" i="63"/>
  <c r="K125" i="63" s="1"/>
  <c r="H126" i="63"/>
  <c r="H125" i="63"/>
  <c r="F125" i="63"/>
  <c r="U123" i="63"/>
  <c r="T123" i="63"/>
  <c r="U122" i="63"/>
  <c r="T122" i="63"/>
  <c r="H122" i="63"/>
  <c r="T121" i="63"/>
  <c r="S121" i="63"/>
  <c r="U121" i="63" s="1"/>
  <c r="R121" i="63"/>
  <c r="Q121" i="63"/>
  <c r="P121" i="63"/>
  <c r="O121" i="63"/>
  <c r="N121" i="63"/>
  <c r="M121" i="63"/>
  <c r="L121" i="63"/>
  <c r="K121" i="63"/>
  <c r="K120" i="63" s="1"/>
  <c r="H121" i="63"/>
  <c r="H120" i="63"/>
  <c r="F120" i="63"/>
  <c r="U119" i="63"/>
  <c r="T119" i="63"/>
  <c r="U118" i="63"/>
  <c r="T118" i="63"/>
  <c r="H118" i="63"/>
  <c r="T117" i="63"/>
  <c r="S117" i="63"/>
  <c r="U117" i="63" s="1"/>
  <c r="R117" i="63"/>
  <c r="Q117" i="63"/>
  <c r="P117" i="63"/>
  <c r="O117" i="63"/>
  <c r="N117" i="63"/>
  <c r="M117" i="63"/>
  <c r="L117" i="63"/>
  <c r="K117" i="63"/>
  <c r="K116" i="63" s="1"/>
  <c r="H117" i="63"/>
  <c r="H116" i="63"/>
  <c r="F116" i="63"/>
  <c r="U115" i="63"/>
  <c r="T115" i="63"/>
  <c r="U114" i="63"/>
  <c r="T114" i="63"/>
  <c r="H114" i="63"/>
  <c r="T113" i="63"/>
  <c r="S113" i="63"/>
  <c r="U113" i="63" s="1"/>
  <c r="R113" i="63"/>
  <c r="Q113" i="63"/>
  <c r="P113" i="63"/>
  <c r="O113" i="63"/>
  <c r="N113" i="63"/>
  <c r="M113" i="63"/>
  <c r="L113" i="63"/>
  <c r="K113" i="63"/>
  <c r="K112" i="63" s="1"/>
  <c r="H113" i="63"/>
  <c r="H112" i="63"/>
  <c r="F112" i="63"/>
  <c r="U109" i="63"/>
  <c r="T109" i="63"/>
  <c r="H109" i="63"/>
  <c r="U108" i="63"/>
  <c r="S108" i="63"/>
  <c r="R108" i="63"/>
  <c r="Q108" i="63"/>
  <c r="O108" i="63" s="1"/>
  <c r="P108" i="63"/>
  <c r="N108" i="63"/>
  <c r="M108" i="63"/>
  <c r="L108" i="63"/>
  <c r="K108" i="63"/>
  <c r="H108" i="63"/>
  <c r="H107" i="63" s="1"/>
  <c r="K107" i="63"/>
  <c r="F107" i="63"/>
  <c r="U106" i="63"/>
  <c r="T106" i="63"/>
  <c r="H106" i="63"/>
  <c r="T105" i="63"/>
  <c r="S105" i="63"/>
  <c r="U105" i="63" s="1"/>
  <c r="R105" i="63"/>
  <c r="Q105" i="63"/>
  <c r="P105" i="63"/>
  <c r="O105" i="63"/>
  <c r="N105" i="63"/>
  <c r="M105" i="63"/>
  <c r="L105" i="63"/>
  <c r="K105" i="63"/>
  <c r="K104" i="63" s="1"/>
  <c r="H105" i="63"/>
  <c r="H104" i="63"/>
  <c r="F104" i="63"/>
  <c r="U103" i="63"/>
  <c r="T103" i="63"/>
  <c r="H103" i="63"/>
  <c r="U102" i="63"/>
  <c r="S102" i="63"/>
  <c r="R102" i="63"/>
  <c r="Q102" i="63"/>
  <c r="O102" i="63" s="1"/>
  <c r="P102" i="63"/>
  <c r="N102" i="63"/>
  <c r="M102" i="63"/>
  <c r="L102" i="63"/>
  <c r="K102" i="63"/>
  <c r="H102" i="63"/>
  <c r="U101" i="63"/>
  <c r="T101" i="63"/>
  <c r="H101" i="63"/>
  <c r="U100" i="63"/>
  <c r="T100" i="63"/>
  <c r="S100" i="63"/>
  <c r="R100" i="63"/>
  <c r="Q100" i="63"/>
  <c r="O100" i="63" s="1"/>
  <c r="P100" i="63"/>
  <c r="N100" i="63"/>
  <c r="M100" i="63"/>
  <c r="L100" i="63"/>
  <c r="K100" i="63"/>
  <c r="H100" i="63"/>
  <c r="U99" i="63"/>
  <c r="T99" i="63"/>
  <c r="H99" i="63"/>
  <c r="T98" i="63"/>
  <c r="S98" i="63"/>
  <c r="U98" i="63" s="1"/>
  <c r="R98" i="63"/>
  <c r="Q98" i="63"/>
  <c r="P98" i="63"/>
  <c r="O98" i="63"/>
  <c r="N98" i="63"/>
  <c r="M98" i="63"/>
  <c r="L98" i="63"/>
  <c r="K98" i="63"/>
  <c r="H98" i="63"/>
  <c r="U97" i="63"/>
  <c r="T97" i="63"/>
  <c r="H97" i="63"/>
  <c r="S96" i="63"/>
  <c r="R96" i="63"/>
  <c r="T96" i="63" s="1"/>
  <c r="Q96" i="63"/>
  <c r="P96" i="63"/>
  <c r="N96" i="63"/>
  <c r="O96" i="63" s="1"/>
  <c r="M96" i="63"/>
  <c r="L96" i="63"/>
  <c r="K96" i="63"/>
  <c r="H96" i="63"/>
  <c r="U95" i="63"/>
  <c r="T95" i="63"/>
  <c r="H95" i="63"/>
  <c r="U94" i="63"/>
  <c r="S94" i="63"/>
  <c r="R94" i="63"/>
  <c r="Q94" i="63"/>
  <c r="O94" i="63" s="1"/>
  <c r="P94" i="63"/>
  <c r="N94" i="63"/>
  <c r="M94" i="63"/>
  <c r="L94" i="63"/>
  <c r="K94" i="63"/>
  <c r="H94" i="63"/>
  <c r="U93" i="63"/>
  <c r="T93" i="63"/>
  <c r="H93" i="63"/>
  <c r="U92" i="63"/>
  <c r="T92" i="63"/>
  <c r="S92" i="63"/>
  <c r="R92" i="63"/>
  <c r="Q92" i="63"/>
  <c r="O92" i="63" s="1"/>
  <c r="P92" i="63"/>
  <c r="N92" i="63"/>
  <c r="M92" i="63"/>
  <c r="L92" i="63"/>
  <c r="K92" i="63"/>
  <c r="H92" i="63"/>
  <c r="U91" i="63"/>
  <c r="T91" i="63"/>
  <c r="H91" i="63"/>
  <c r="T90" i="63"/>
  <c r="S90" i="63"/>
  <c r="U90" i="63" s="1"/>
  <c r="R90" i="63"/>
  <c r="Q90" i="63"/>
  <c r="P90" i="63"/>
  <c r="O90" i="63"/>
  <c r="N90" i="63"/>
  <c r="M90" i="63"/>
  <c r="L90" i="63"/>
  <c r="K90" i="63"/>
  <c r="H90" i="63"/>
  <c r="U89" i="63"/>
  <c r="T89" i="63"/>
  <c r="H89" i="63"/>
  <c r="S88" i="63"/>
  <c r="R88" i="63"/>
  <c r="T88" i="63" s="1"/>
  <c r="Q88" i="63"/>
  <c r="P88" i="63"/>
  <c r="N88" i="63"/>
  <c r="O88" i="63" s="1"/>
  <c r="M88" i="63"/>
  <c r="L88" i="63"/>
  <c r="K88" i="63"/>
  <c r="H88" i="63"/>
  <c r="U87" i="63"/>
  <c r="T87" i="63"/>
  <c r="H87" i="63"/>
  <c r="U86" i="63"/>
  <c r="S86" i="63"/>
  <c r="R86" i="63"/>
  <c r="Q86" i="63"/>
  <c r="O86" i="63" s="1"/>
  <c r="P86" i="63"/>
  <c r="N86" i="63"/>
  <c r="M86" i="63"/>
  <c r="L86" i="63"/>
  <c r="K86" i="63"/>
  <c r="H86" i="63"/>
  <c r="U85" i="63"/>
  <c r="T85" i="63"/>
  <c r="H85" i="63"/>
  <c r="U84" i="63"/>
  <c r="T84" i="63"/>
  <c r="S84" i="63"/>
  <c r="R84" i="63"/>
  <c r="Q84" i="63"/>
  <c r="O84" i="63" s="1"/>
  <c r="P84" i="63"/>
  <c r="N84" i="63"/>
  <c r="M84" i="63"/>
  <c r="L84" i="63"/>
  <c r="K84" i="63"/>
  <c r="H84" i="63"/>
  <c r="U83" i="63"/>
  <c r="T83" i="63"/>
  <c r="H83" i="63"/>
  <c r="T82" i="63"/>
  <c r="S82" i="63"/>
  <c r="U82" i="63" s="1"/>
  <c r="R82" i="63"/>
  <c r="Q82" i="63"/>
  <c r="P82" i="63"/>
  <c r="O82" i="63"/>
  <c r="N82" i="63"/>
  <c r="M82" i="63"/>
  <c r="L82" i="63"/>
  <c r="K82" i="63"/>
  <c r="H82" i="63"/>
  <c r="U81" i="63"/>
  <c r="T81" i="63"/>
  <c r="H81" i="63"/>
  <c r="S80" i="63"/>
  <c r="R80" i="63"/>
  <c r="T80" i="63" s="1"/>
  <c r="Q80" i="63"/>
  <c r="P80" i="63"/>
  <c r="N80" i="63"/>
  <c r="O80" i="63" s="1"/>
  <c r="M80" i="63"/>
  <c r="L80" i="63"/>
  <c r="K80" i="63"/>
  <c r="H80" i="63"/>
  <c r="U79" i="63"/>
  <c r="T79" i="63"/>
  <c r="H79" i="63"/>
  <c r="U78" i="63"/>
  <c r="S78" i="63"/>
  <c r="R78" i="63"/>
  <c r="Q78" i="63"/>
  <c r="O78" i="63" s="1"/>
  <c r="P78" i="63"/>
  <c r="N78" i="63"/>
  <c r="M78" i="63"/>
  <c r="L78" i="63"/>
  <c r="K78" i="63"/>
  <c r="H78" i="63"/>
  <c r="U77" i="63"/>
  <c r="T77" i="63"/>
  <c r="H77" i="63"/>
  <c r="U76" i="63"/>
  <c r="T76" i="63"/>
  <c r="S76" i="63"/>
  <c r="R76" i="63"/>
  <c r="Q76" i="63"/>
  <c r="O76" i="63" s="1"/>
  <c r="P76" i="63"/>
  <c r="N76" i="63"/>
  <c r="M76" i="63"/>
  <c r="L76" i="63"/>
  <c r="K76" i="63"/>
  <c r="H76" i="63"/>
  <c r="U75" i="63"/>
  <c r="T75" i="63"/>
  <c r="H75" i="63"/>
  <c r="T74" i="63"/>
  <c r="S74" i="63"/>
  <c r="U74" i="63" s="1"/>
  <c r="R74" i="63"/>
  <c r="Q74" i="63"/>
  <c r="P74" i="63"/>
  <c r="O74" i="63"/>
  <c r="N74" i="63"/>
  <c r="M74" i="63"/>
  <c r="L74" i="63"/>
  <c r="K74" i="63"/>
  <c r="H74" i="63"/>
  <c r="U73" i="63"/>
  <c r="T73" i="63"/>
  <c r="H73" i="63"/>
  <c r="S72" i="63"/>
  <c r="R72" i="63"/>
  <c r="T72" i="63" s="1"/>
  <c r="Q72" i="63"/>
  <c r="P72" i="63"/>
  <c r="N72" i="63"/>
  <c r="O72" i="63" s="1"/>
  <c r="M72" i="63"/>
  <c r="L72" i="63"/>
  <c r="K72" i="63"/>
  <c r="F64" i="63" s="1"/>
  <c r="H72" i="63"/>
  <c r="U71" i="63"/>
  <c r="T71" i="63"/>
  <c r="H71" i="63"/>
  <c r="U70" i="63"/>
  <c r="S70" i="63"/>
  <c r="R70" i="63"/>
  <c r="Q70" i="63"/>
  <c r="O70" i="63" s="1"/>
  <c r="P70" i="63"/>
  <c r="N70" i="63"/>
  <c r="M70" i="63"/>
  <c r="L70" i="63"/>
  <c r="K70" i="63"/>
  <c r="H70" i="63"/>
  <c r="U69" i="63"/>
  <c r="T69" i="63"/>
  <c r="H69" i="63"/>
  <c r="U68" i="63"/>
  <c r="T68" i="63"/>
  <c r="S68" i="63"/>
  <c r="R68" i="63"/>
  <c r="Q68" i="63"/>
  <c r="O68" i="63" s="1"/>
  <c r="P68" i="63"/>
  <c r="N68" i="63"/>
  <c r="M68" i="63"/>
  <c r="L68" i="63"/>
  <c r="K68" i="63"/>
  <c r="H68" i="63"/>
  <c r="U67" i="63"/>
  <c r="T67" i="63"/>
  <c r="H67" i="63"/>
  <c r="U66" i="63"/>
  <c r="T66" i="63"/>
  <c r="U65" i="63"/>
  <c r="S65" i="63"/>
  <c r="R65" i="63"/>
  <c r="Q65" i="63"/>
  <c r="O65" i="63" s="1"/>
  <c r="P65" i="63"/>
  <c r="N65" i="63"/>
  <c r="M65" i="63"/>
  <c r="L65" i="63"/>
  <c r="K65" i="63"/>
  <c r="H65" i="63"/>
  <c r="H64" i="63" s="1"/>
  <c r="K64" i="63"/>
  <c r="U62" i="63"/>
  <c r="T62" i="63"/>
  <c r="U61" i="63"/>
  <c r="T61" i="63"/>
  <c r="H61" i="63"/>
  <c r="H59" i="63" s="1"/>
  <c r="H58" i="63" s="1"/>
  <c r="U60" i="63"/>
  <c r="T60" i="63"/>
  <c r="T59" i="63"/>
  <c r="S59" i="63"/>
  <c r="U59" i="63" s="1"/>
  <c r="R59" i="63"/>
  <c r="Q59" i="63"/>
  <c r="P59" i="63"/>
  <c r="O59" i="63"/>
  <c r="N59" i="63"/>
  <c r="M59" i="63"/>
  <c r="L59" i="63"/>
  <c r="K59" i="63"/>
  <c r="K58" i="63" s="1"/>
  <c r="F58" i="63"/>
  <c r="U57" i="63"/>
  <c r="T57" i="63"/>
  <c r="U56" i="63"/>
  <c r="T56" i="63"/>
  <c r="H56" i="63"/>
  <c r="U55" i="63"/>
  <c r="T55" i="63"/>
  <c r="U54" i="63"/>
  <c r="S54" i="63"/>
  <c r="R54" i="63"/>
  <c r="Q54" i="63"/>
  <c r="O54" i="63" s="1"/>
  <c r="P54" i="63"/>
  <c r="N54" i="63"/>
  <c r="M54" i="63"/>
  <c r="L54" i="63"/>
  <c r="K54" i="63"/>
  <c r="H54" i="63"/>
  <c r="H53" i="63" s="1"/>
  <c r="K53" i="63"/>
  <c r="F53" i="63"/>
  <c r="U52" i="63"/>
  <c r="T52" i="63"/>
  <c r="U51" i="63"/>
  <c r="T51" i="63"/>
  <c r="H51" i="63"/>
  <c r="H49" i="63" s="1"/>
  <c r="U50" i="63"/>
  <c r="T50" i="63"/>
  <c r="U49" i="63"/>
  <c r="T49" i="63"/>
  <c r="S49" i="63"/>
  <c r="R49" i="63"/>
  <c r="Q49" i="63"/>
  <c r="P49" i="63"/>
  <c r="O49" i="63"/>
  <c r="N49" i="63"/>
  <c r="M49" i="63"/>
  <c r="L49" i="63"/>
  <c r="K49" i="63"/>
  <c r="F42" i="63" s="1"/>
  <c r="U48" i="63"/>
  <c r="T48" i="63"/>
  <c r="H48" i="63"/>
  <c r="H46" i="63" s="1"/>
  <c r="U47" i="63"/>
  <c r="T47" i="63"/>
  <c r="U46" i="63"/>
  <c r="T46" i="63"/>
  <c r="S46" i="63"/>
  <c r="R46" i="63"/>
  <c r="Q46" i="63"/>
  <c r="O46" i="63" s="1"/>
  <c r="P46" i="63"/>
  <c r="N46" i="63"/>
  <c r="M46" i="63"/>
  <c r="L46" i="63"/>
  <c r="K46" i="63"/>
  <c r="U45" i="63"/>
  <c r="T45" i="63"/>
  <c r="H45" i="63"/>
  <c r="U44" i="63"/>
  <c r="T44" i="63"/>
  <c r="U43" i="63"/>
  <c r="S43" i="63"/>
  <c r="R43" i="63"/>
  <c r="Q43" i="63"/>
  <c r="O43" i="63" s="1"/>
  <c r="P43" i="63"/>
  <c r="N43" i="63"/>
  <c r="M43" i="63"/>
  <c r="L43" i="63"/>
  <c r="K43" i="63"/>
  <c r="H43" i="63"/>
  <c r="H42" i="63" s="1"/>
  <c r="K42" i="63"/>
  <c r="U39" i="63"/>
  <c r="T39" i="63"/>
  <c r="H39" i="63"/>
  <c r="T38" i="63"/>
  <c r="S38" i="63"/>
  <c r="U38" i="63" s="1"/>
  <c r="R38" i="63"/>
  <c r="Q38" i="63"/>
  <c r="P38" i="63"/>
  <c r="O38" i="63"/>
  <c r="N38" i="63"/>
  <c r="M38" i="63"/>
  <c r="L38" i="63"/>
  <c r="K38" i="63"/>
  <c r="K37" i="63" s="1"/>
  <c r="H38" i="63"/>
  <c r="H37" i="63"/>
  <c r="F37" i="63"/>
  <c r="U34" i="63"/>
  <c r="T34" i="63"/>
  <c r="H34" i="63"/>
  <c r="H32" i="63" s="1"/>
  <c r="H31" i="63" s="1"/>
  <c r="U33" i="63"/>
  <c r="T33" i="63"/>
  <c r="T32" i="63"/>
  <c r="S32" i="63"/>
  <c r="U32" i="63" s="1"/>
  <c r="R32" i="63"/>
  <c r="Q32" i="63"/>
  <c r="P32" i="63"/>
  <c r="O32" i="63"/>
  <c r="N32" i="63"/>
  <c r="M32" i="63"/>
  <c r="L32" i="63"/>
  <c r="K32" i="63"/>
  <c r="K31" i="63" s="1"/>
  <c r="F31" i="63"/>
  <c r="U29" i="63"/>
  <c r="T29" i="63"/>
  <c r="U28" i="63"/>
  <c r="T28" i="63"/>
  <c r="U27" i="63"/>
  <c r="T27" i="63"/>
  <c r="H27" i="63"/>
  <c r="U26" i="63"/>
  <c r="S26" i="63"/>
  <c r="R26" i="63"/>
  <c r="Q26" i="63"/>
  <c r="O26" i="63" s="1"/>
  <c r="P26" i="63"/>
  <c r="N26" i="63"/>
  <c r="M26" i="63"/>
  <c r="L26" i="63"/>
  <c r="K26" i="63"/>
  <c r="H26" i="63"/>
  <c r="H25" i="63" s="1"/>
  <c r="K25" i="63"/>
  <c r="F25" i="63"/>
  <c r="U24" i="63"/>
  <c r="T24" i="63"/>
  <c r="H24" i="63"/>
  <c r="U23" i="63"/>
  <c r="T23" i="63"/>
  <c r="S23" i="63"/>
  <c r="R23" i="63"/>
  <c r="Q23" i="63"/>
  <c r="P23" i="63"/>
  <c r="O23" i="63"/>
  <c r="N23" i="63"/>
  <c r="M23" i="63"/>
  <c r="L23" i="63"/>
  <c r="K23" i="63"/>
  <c r="H23" i="63"/>
  <c r="U22" i="63"/>
  <c r="T22" i="63"/>
  <c r="U21" i="63"/>
  <c r="T21" i="63"/>
  <c r="T20" i="63"/>
  <c r="S20" i="63"/>
  <c r="R20" i="63"/>
  <c r="U20" i="63" s="1"/>
  <c r="Q20" i="63"/>
  <c r="P20" i="63"/>
  <c r="O20" i="63"/>
  <c r="N20" i="63"/>
  <c r="M20" i="63"/>
  <c r="L20" i="63"/>
  <c r="K20" i="63"/>
  <c r="K19" i="63" s="1"/>
  <c r="H20" i="63"/>
  <c r="H19" i="63"/>
  <c r="F19" i="63"/>
  <c r="U18" i="63"/>
  <c r="T18" i="63"/>
  <c r="H18" i="63"/>
  <c r="U17" i="63"/>
  <c r="S17" i="63"/>
  <c r="R17" i="63"/>
  <c r="Q17" i="63"/>
  <c r="O17" i="63" s="1"/>
  <c r="P17" i="63"/>
  <c r="N17" i="63"/>
  <c r="M17" i="63"/>
  <c r="L17" i="63"/>
  <c r="K17" i="63"/>
  <c r="H17" i="63"/>
  <c r="H16" i="63" s="1"/>
  <c r="K16" i="63"/>
  <c r="H12" i="63"/>
  <c r="S11" i="63"/>
  <c r="S154" i="63" s="1"/>
  <c r="R11" i="63"/>
  <c r="R154" i="63" s="1"/>
  <c r="Q11" i="63"/>
  <c r="Q154" i="63" s="1"/>
  <c r="T154" i="63" s="1"/>
  <c r="P11" i="63"/>
  <c r="P154" i="63" s="1"/>
  <c r="N11" i="63"/>
  <c r="O11" i="63" s="1"/>
  <c r="M11" i="63"/>
  <c r="L11" i="63"/>
  <c r="K11" i="63"/>
  <c r="K10" i="63" s="1"/>
  <c r="H11" i="63"/>
  <c r="H10" i="63" s="1"/>
  <c r="U154" i="63" l="1"/>
  <c r="O155" i="63"/>
  <c r="G154" i="63"/>
  <c r="O154" i="63"/>
  <c r="T17" i="63"/>
  <c r="T26" i="63"/>
  <c r="T43" i="63"/>
  <c r="T54" i="63"/>
  <c r="T65" i="63"/>
  <c r="T70" i="63"/>
  <c r="U72" i="63"/>
  <c r="T78" i="63"/>
  <c r="U80" i="63"/>
  <c r="T86" i="63"/>
  <c r="U88" i="63"/>
  <c r="T94" i="63"/>
  <c r="U96" i="63"/>
  <c r="T102" i="63"/>
  <c r="T108" i="63"/>
  <c r="U136" i="63"/>
  <c r="T146" i="63"/>
  <c r="U151" i="63"/>
  <c r="S147" i="62"/>
  <c r="R147" i="62"/>
  <c r="Q147" i="62"/>
  <c r="P147" i="62"/>
  <c r="C147" i="62"/>
  <c r="U145" i="62"/>
  <c r="T145" i="62"/>
  <c r="U144" i="62"/>
  <c r="T144" i="62"/>
  <c r="U143" i="62"/>
  <c r="T143" i="62"/>
  <c r="U142" i="62"/>
  <c r="T142" i="62"/>
  <c r="N142" i="62"/>
  <c r="O142" i="62" s="1"/>
  <c r="L142" i="62"/>
  <c r="K142" i="62"/>
  <c r="H141" i="62"/>
  <c r="U140" i="62"/>
  <c r="T140" i="62"/>
  <c r="U139" i="62"/>
  <c r="T139" i="62"/>
  <c r="U138" i="62"/>
  <c r="T138" i="62"/>
  <c r="O138" i="62"/>
  <c r="N138" i="62"/>
  <c r="L138" i="62"/>
  <c r="K138" i="62"/>
  <c r="H137" i="62"/>
  <c r="U136" i="62"/>
  <c r="T136" i="62"/>
  <c r="U135" i="62"/>
  <c r="T135" i="62"/>
  <c r="U134" i="62"/>
  <c r="T134" i="62"/>
  <c r="O134" i="62"/>
  <c r="N134" i="62"/>
  <c r="L134" i="62"/>
  <c r="K134" i="62"/>
  <c r="H133" i="62"/>
  <c r="U132" i="62"/>
  <c r="T132" i="62"/>
  <c r="U131" i="62"/>
  <c r="T131" i="62"/>
  <c r="U130" i="62"/>
  <c r="T130" i="62"/>
  <c r="U129" i="62"/>
  <c r="T129" i="62"/>
  <c r="O129" i="62"/>
  <c r="N129" i="62"/>
  <c r="L129" i="62"/>
  <c r="K129" i="62"/>
  <c r="U128" i="62"/>
  <c r="T128" i="62"/>
  <c r="U127" i="62"/>
  <c r="T127" i="62"/>
  <c r="U126" i="62"/>
  <c r="T126" i="62"/>
  <c r="N126" i="62"/>
  <c r="O126" i="62" s="1"/>
  <c r="L126" i="62"/>
  <c r="K126" i="62"/>
  <c r="H125" i="62"/>
  <c r="U124" i="62"/>
  <c r="T124" i="62"/>
  <c r="U123" i="62"/>
  <c r="T123" i="62"/>
  <c r="U122" i="62"/>
  <c r="T122" i="62"/>
  <c r="N122" i="62"/>
  <c r="O122" i="62" s="1"/>
  <c r="L122" i="62"/>
  <c r="K122" i="62"/>
  <c r="U121" i="62"/>
  <c r="T121" i="62"/>
  <c r="U120" i="62"/>
  <c r="T120" i="62"/>
  <c r="U119" i="62"/>
  <c r="T119" i="62"/>
  <c r="U118" i="62"/>
  <c r="T118" i="62"/>
  <c r="U117" i="62"/>
  <c r="T117" i="62"/>
  <c r="O117" i="62"/>
  <c r="N117" i="62"/>
  <c r="L117" i="62"/>
  <c r="K117" i="62"/>
  <c r="H116" i="62"/>
  <c r="U115" i="62"/>
  <c r="T115" i="62"/>
  <c r="U114" i="62"/>
  <c r="T114" i="62"/>
  <c r="U113" i="62"/>
  <c r="T113" i="62"/>
  <c r="N113" i="62"/>
  <c r="O113" i="62" s="1"/>
  <c r="L113" i="62"/>
  <c r="K113" i="62"/>
  <c r="H112" i="62"/>
  <c r="U109" i="62"/>
  <c r="T109" i="62"/>
  <c r="U108" i="62"/>
  <c r="T108" i="62"/>
  <c r="U107" i="62"/>
  <c r="T107" i="62"/>
  <c r="N107" i="62"/>
  <c r="O107" i="62" s="1"/>
  <c r="L107" i="62"/>
  <c r="K107" i="62"/>
  <c r="H106" i="62"/>
  <c r="U104" i="62"/>
  <c r="T104" i="62"/>
  <c r="U103" i="62"/>
  <c r="T103" i="62"/>
  <c r="U102" i="62"/>
  <c r="T102" i="62"/>
  <c r="O102" i="62"/>
  <c r="N102" i="62"/>
  <c r="L102" i="62"/>
  <c r="K102" i="62"/>
  <c r="H101" i="62"/>
  <c r="U97" i="62"/>
  <c r="T97" i="62"/>
  <c r="U96" i="62"/>
  <c r="T96" i="62"/>
  <c r="U95" i="62"/>
  <c r="T95" i="62"/>
  <c r="U94" i="62"/>
  <c r="T94" i="62"/>
  <c r="N94" i="62"/>
  <c r="O94" i="62" s="1"/>
  <c r="L94" i="62"/>
  <c r="K94" i="62"/>
  <c r="H93" i="62"/>
  <c r="U92" i="62"/>
  <c r="T92" i="62"/>
  <c r="U91" i="62"/>
  <c r="T91" i="62"/>
  <c r="U90" i="62"/>
  <c r="T90" i="62"/>
  <c r="O90" i="62"/>
  <c r="N90" i="62"/>
  <c r="L90" i="62"/>
  <c r="K90" i="62"/>
  <c r="H89" i="62"/>
  <c r="U88" i="62"/>
  <c r="T88" i="62"/>
  <c r="U87" i="62"/>
  <c r="T87" i="62"/>
  <c r="U86" i="62"/>
  <c r="T86" i="62"/>
  <c r="O86" i="62"/>
  <c r="N86" i="62"/>
  <c r="L86" i="62"/>
  <c r="K86" i="62"/>
  <c r="H85" i="62"/>
  <c r="U83" i="62"/>
  <c r="T83" i="62"/>
  <c r="U82" i="62"/>
  <c r="T82" i="62"/>
  <c r="U81" i="62"/>
  <c r="T81" i="62"/>
  <c r="N81" i="62"/>
  <c r="O81" i="62" s="1"/>
  <c r="L81" i="62"/>
  <c r="K81" i="62"/>
  <c r="U79" i="62"/>
  <c r="T79" i="62"/>
  <c r="U78" i="62"/>
  <c r="T78" i="62"/>
  <c r="U77" i="62"/>
  <c r="U76" i="62"/>
  <c r="T76" i="62"/>
  <c r="U75" i="62"/>
  <c r="T75" i="62"/>
  <c r="N75" i="62"/>
  <c r="O75" i="62" s="1"/>
  <c r="L75" i="62"/>
  <c r="K75" i="62"/>
  <c r="H74" i="62"/>
  <c r="U73" i="62"/>
  <c r="T73" i="62"/>
  <c r="U72" i="62"/>
  <c r="T72" i="62"/>
  <c r="U71" i="62"/>
  <c r="T71" i="62"/>
  <c r="N71" i="62"/>
  <c r="O71" i="62" s="1"/>
  <c r="L71" i="62"/>
  <c r="K71" i="62"/>
  <c r="H70" i="62"/>
  <c r="U69" i="62"/>
  <c r="T69" i="62"/>
  <c r="U68" i="62"/>
  <c r="T68" i="62"/>
  <c r="U67" i="62"/>
  <c r="T67" i="62"/>
  <c r="N67" i="62"/>
  <c r="O67" i="62" s="1"/>
  <c r="L67" i="62"/>
  <c r="K67" i="62"/>
  <c r="H66" i="62"/>
  <c r="U65" i="62"/>
  <c r="T65" i="62"/>
  <c r="U64" i="62"/>
  <c r="T64" i="62"/>
  <c r="U63" i="62"/>
  <c r="T63" i="62"/>
  <c r="O63" i="62"/>
  <c r="N63" i="62"/>
  <c r="L63" i="62"/>
  <c r="K63" i="62"/>
  <c r="H62" i="62"/>
  <c r="U61" i="62"/>
  <c r="T61" i="62"/>
  <c r="U60" i="62"/>
  <c r="T60" i="62"/>
  <c r="U59" i="62"/>
  <c r="T59" i="62"/>
  <c r="U58" i="62"/>
  <c r="T58" i="62"/>
  <c r="N58" i="62"/>
  <c r="O58" i="62" s="1"/>
  <c r="L58" i="62"/>
  <c r="K58" i="62"/>
  <c r="H57" i="62"/>
  <c r="U56" i="62"/>
  <c r="U55" i="62"/>
  <c r="T55" i="62"/>
  <c r="U54" i="62"/>
  <c r="T54" i="62"/>
  <c r="U53" i="62"/>
  <c r="T53" i="62"/>
  <c r="U52" i="62"/>
  <c r="T52" i="62"/>
  <c r="N52" i="62"/>
  <c r="O52" i="62" s="1"/>
  <c r="L52" i="62"/>
  <c r="K52" i="62"/>
  <c r="H51" i="62"/>
  <c r="U50" i="62"/>
  <c r="T50" i="62"/>
  <c r="U49" i="62"/>
  <c r="T49" i="62"/>
  <c r="U48" i="62"/>
  <c r="T48" i="62"/>
  <c r="N48" i="62"/>
  <c r="O48" i="62" s="1"/>
  <c r="L48" i="62"/>
  <c r="K48" i="62"/>
  <c r="H47" i="62"/>
  <c r="U46" i="62"/>
  <c r="T46" i="62"/>
  <c r="U45" i="62"/>
  <c r="T45" i="62"/>
  <c r="U44" i="62"/>
  <c r="T44" i="62"/>
  <c r="N44" i="62"/>
  <c r="O44" i="62" s="1"/>
  <c r="L44" i="62"/>
  <c r="K44" i="62"/>
  <c r="H43" i="62"/>
  <c r="U42" i="62"/>
  <c r="T42" i="62"/>
  <c r="U41" i="62"/>
  <c r="T41" i="62"/>
  <c r="U40" i="62"/>
  <c r="T40" i="62"/>
  <c r="U39" i="62"/>
  <c r="T39" i="62"/>
  <c r="N39" i="62"/>
  <c r="O39" i="62" s="1"/>
  <c r="L39" i="62"/>
  <c r="K39" i="62"/>
  <c r="H38" i="62"/>
  <c r="U37" i="62"/>
  <c r="T37" i="62"/>
  <c r="U36" i="62"/>
  <c r="T36" i="62"/>
  <c r="U35" i="62"/>
  <c r="T35" i="62"/>
  <c r="U34" i="62"/>
  <c r="T34" i="62"/>
  <c r="U33" i="62"/>
  <c r="T33" i="62"/>
  <c r="U32" i="62"/>
  <c r="T32" i="62"/>
  <c r="N32" i="62"/>
  <c r="O32" i="62" s="1"/>
  <c r="L32" i="62"/>
  <c r="K32" i="62"/>
  <c r="H31" i="62"/>
  <c r="U30" i="62"/>
  <c r="T30" i="62"/>
  <c r="U29" i="62"/>
  <c r="T29" i="62"/>
  <c r="U28" i="62"/>
  <c r="T28" i="62"/>
  <c r="U27" i="62"/>
  <c r="T27" i="62"/>
  <c r="O27" i="62"/>
  <c r="N27" i="62"/>
  <c r="L27" i="62"/>
  <c r="K27" i="62"/>
  <c r="H27" i="62"/>
  <c r="H26" i="62"/>
  <c r="U25" i="62"/>
  <c r="T25" i="62"/>
  <c r="U24" i="62"/>
  <c r="T24" i="62"/>
  <c r="U23" i="62"/>
  <c r="T23" i="62"/>
  <c r="U22" i="62"/>
  <c r="T22" i="62"/>
  <c r="U21" i="62"/>
  <c r="T21" i="62"/>
  <c r="U20" i="62"/>
  <c r="T20" i="62"/>
  <c r="N20" i="62"/>
  <c r="O20" i="62" s="1"/>
  <c r="L20" i="62"/>
  <c r="K20" i="62"/>
  <c r="H19" i="62"/>
  <c r="U18" i="62"/>
  <c r="T18" i="62"/>
  <c r="U17" i="62"/>
  <c r="T17" i="62"/>
  <c r="U16" i="62"/>
  <c r="T16" i="62"/>
  <c r="N16" i="62"/>
  <c r="O16" i="62" s="1"/>
  <c r="L16" i="62"/>
  <c r="K16" i="62"/>
  <c r="H15" i="62"/>
  <c r="U14" i="62"/>
  <c r="T14" i="62"/>
  <c r="U13" i="62"/>
  <c r="T13" i="62"/>
  <c r="U12" i="62"/>
  <c r="T12" i="62"/>
  <c r="U11" i="62"/>
  <c r="T11" i="62"/>
  <c r="N11" i="62"/>
  <c r="O11" i="62" s="1"/>
  <c r="L11" i="62"/>
  <c r="K11" i="62"/>
  <c r="H10" i="62"/>
  <c r="O148" i="62" l="1"/>
  <c r="O147" i="62"/>
  <c r="G147" i="62"/>
  <c r="U52" i="58" l="1"/>
  <c r="T52" i="58"/>
  <c r="U51" i="58"/>
  <c r="T51" i="58"/>
  <c r="U50" i="58"/>
  <c r="T50" i="58"/>
  <c r="S49" i="58"/>
  <c r="R49" i="58"/>
  <c r="U49" i="58" s="1"/>
  <c r="Q49" i="58"/>
  <c r="O49" i="58" s="1"/>
  <c r="P49" i="58"/>
  <c r="N49" i="58"/>
  <c r="L49" i="58"/>
  <c r="H49" i="58"/>
  <c r="H48" i="58"/>
  <c r="U47" i="58"/>
  <c r="T47" i="58"/>
  <c r="S46" i="58"/>
  <c r="U46" i="58" s="1"/>
  <c r="R46" i="58"/>
  <c r="Q46" i="58"/>
  <c r="T46" i="58" s="1"/>
  <c r="P46" i="58"/>
  <c r="O46" i="58"/>
  <c r="N46" i="58"/>
  <c r="L46" i="58"/>
  <c r="K46" i="58"/>
  <c r="H46" i="58"/>
  <c r="H45" i="58"/>
  <c r="U44" i="58"/>
  <c r="T44" i="58"/>
  <c r="U43" i="58"/>
  <c r="S43" i="58"/>
  <c r="R43" i="58"/>
  <c r="Q43" i="58"/>
  <c r="T43" i="58" s="1"/>
  <c r="P43" i="58"/>
  <c r="N43" i="58"/>
  <c r="L43" i="58"/>
  <c r="K43" i="58"/>
  <c r="H43" i="58"/>
  <c r="U42" i="58"/>
  <c r="T42" i="58"/>
  <c r="U41" i="58"/>
  <c r="T41" i="58"/>
  <c r="T40" i="58"/>
  <c r="S40" i="58"/>
  <c r="R40" i="58"/>
  <c r="U40" i="58" s="1"/>
  <c r="Q40" i="58"/>
  <c r="P40" i="58"/>
  <c r="N40" i="58"/>
  <c r="O40" i="58" s="1"/>
  <c r="L40" i="58"/>
  <c r="K40" i="58"/>
  <c r="H40" i="58"/>
  <c r="H39" i="58"/>
  <c r="U37" i="58"/>
  <c r="T37" i="58"/>
  <c r="U36" i="58"/>
  <c r="T36" i="58"/>
  <c r="S35" i="58"/>
  <c r="R35" i="58"/>
  <c r="U35" i="58" s="1"/>
  <c r="Q35" i="58"/>
  <c r="P35" i="58"/>
  <c r="N35" i="58"/>
  <c r="O35" i="58" s="1"/>
  <c r="L35" i="58"/>
  <c r="K35" i="58"/>
  <c r="H35" i="58"/>
  <c r="H34" i="58"/>
  <c r="U33" i="58"/>
  <c r="T33" i="58"/>
  <c r="U32" i="58"/>
  <c r="T32" i="58"/>
  <c r="T31" i="58"/>
  <c r="S31" i="58"/>
  <c r="R31" i="58"/>
  <c r="U31" i="58" s="1"/>
  <c r="Q31" i="58"/>
  <c r="P31" i="58"/>
  <c r="N31" i="58"/>
  <c r="O31" i="58" s="1"/>
  <c r="L31" i="58"/>
  <c r="K31" i="58"/>
  <c r="H31" i="58"/>
  <c r="H28" i="58" s="1"/>
  <c r="U30" i="58"/>
  <c r="T30" i="58"/>
  <c r="U29" i="58"/>
  <c r="S29" i="58"/>
  <c r="S54" i="58" s="1"/>
  <c r="R29" i="58"/>
  <c r="Q29" i="58"/>
  <c r="T29" i="58" s="1"/>
  <c r="P29" i="58"/>
  <c r="N29" i="58"/>
  <c r="L29" i="58"/>
  <c r="K29" i="58"/>
  <c r="H29" i="58"/>
  <c r="U26" i="58"/>
  <c r="T26" i="58"/>
  <c r="S25" i="58"/>
  <c r="U25" i="58" s="1"/>
  <c r="R25" i="58"/>
  <c r="Q25" i="58"/>
  <c r="T25" i="58" s="1"/>
  <c r="P25" i="58"/>
  <c r="O25" i="58"/>
  <c r="N25" i="58"/>
  <c r="L25" i="58"/>
  <c r="K25" i="58"/>
  <c r="H25" i="58"/>
  <c r="H24" i="58" s="1"/>
  <c r="U23" i="58"/>
  <c r="T23" i="58"/>
  <c r="U22" i="58"/>
  <c r="T22" i="58"/>
  <c r="S21" i="58"/>
  <c r="U21" i="58" s="1"/>
  <c r="R21" i="58"/>
  <c r="Q21" i="58"/>
  <c r="T21" i="58" s="1"/>
  <c r="P21" i="58"/>
  <c r="O21" i="58"/>
  <c r="N21" i="58"/>
  <c r="L21" i="58"/>
  <c r="K21" i="58"/>
  <c r="H21" i="58"/>
  <c r="H20" i="58" s="1"/>
  <c r="U19" i="58"/>
  <c r="T19" i="58"/>
  <c r="U18" i="58"/>
  <c r="T18" i="58"/>
  <c r="S17" i="58"/>
  <c r="U17" i="58" s="1"/>
  <c r="R17" i="58"/>
  <c r="Q17" i="58"/>
  <c r="T17" i="58" s="1"/>
  <c r="P17" i="58"/>
  <c r="O17" i="58"/>
  <c r="N17" i="58"/>
  <c r="L17" i="58"/>
  <c r="K17" i="58"/>
  <c r="H17" i="58"/>
  <c r="H16" i="58" s="1"/>
  <c r="U15" i="58"/>
  <c r="T15" i="58"/>
  <c r="U14" i="58"/>
  <c r="T14" i="58"/>
  <c r="S13" i="58"/>
  <c r="U13" i="58" s="1"/>
  <c r="R13" i="58"/>
  <c r="Q13" i="58"/>
  <c r="T13" i="58" s="1"/>
  <c r="P13" i="58"/>
  <c r="O13" i="58"/>
  <c r="N13" i="58"/>
  <c r="H13" i="58"/>
  <c r="U12" i="58"/>
  <c r="T12" i="58"/>
  <c r="S11" i="58"/>
  <c r="R11" i="58"/>
  <c r="R54" i="58" s="1"/>
  <c r="U54" i="58" s="1"/>
  <c r="Q11" i="58"/>
  <c r="Q54" i="58" s="1"/>
  <c r="T54" i="58" s="1"/>
  <c r="P11" i="58"/>
  <c r="P54" i="58" s="1"/>
  <c r="N11" i="58"/>
  <c r="L11" i="58"/>
  <c r="K11" i="58"/>
  <c r="H11" i="58"/>
  <c r="H10" i="58"/>
  <c r="T35" i="58" l="1"/>
  <c r="O11" i="58"/>
  <c r="T11" i="58"/>
  <c r="O43" i="58"/>
  <c r="T49" i="58"/>
  <c r="O29" i="58"/>
  <c r="U11" i="58"/>
  <c r="O55" i="58" l="1"/>
  <c r="G54" i="58"/>
  <c r="O54" i="58"/>
  <c r="U154" i="57" l="1"/>
  <c r="T154" i="57"/>
  <c r="U151" i="57"/>
  <c r="T151" i="57"/>
  <c r="H151" i="57"/>
  <c r="T150" i="57"/>
  <c r="S150" i="57"/>
  <c r="U150" i="57" s="1"/>
  <c r="R150" i="57"/>
  <c r="Q150" i="57"/>
  <c r="P150" i="57"/>
  <c r="O150" i="57"/>
  <c r="N150" i="57"/>
  <c r="M150" i="57"/>
  <c r="L150" i="57"/>
  <c r="H149" i="57"/>
  <c r="U147" i="57"/>
  <c r="T147" i="57"/>
  <c r="N147" i="57"/>
  <c r="U146" i="57"/>
  <c r="T146" i="57"/>
  <c r="N146" i="57"/>
  <c r="N144" i="57" s="1"/>
  <c r="O144" i="57" s="1"/>
  <c r="U145" i="57"/>
  <c r="T145" i="57"/>
  <c r="N145" i="57"/>
  <c r="T144" i="57"/>
  <c r="S144" i="57"/>
  <c r="U144" i="57" s="1"/>
  <c r="R144" i="57"/>
  <c r="Q144" i="57"/>
  <c r="P144" i="57"/>
  <c r="M144" i="57"/>
  <c r="L144" i="57"/>
  <c r="H143" i="57"/>
  <c r="U139" i="57"/>
  <c r="T139" i="57"/>
  <c r="N139" i="57"/>
  <c r="H139" i="57"/>
  <c r="H137" i="57" s="1"/>
  <c r="S138" i="57"/>
  <c r="R138" i="57"/>
  <c r="U138" i="57" s="1"/>
  <c r="Q138" i="57"/>
  <c r="P138" i="57"/>
  <c r="N138" i="57"/>
  <c r="O138" i="57" s="1"/>
  <c r="M138" i="57"/>
  <c r="L138" i="57"/>
  <c r="U135" i="57"/>
  <c r="T135" i="57"/>
  <c r="N135" i="57"/>
  <c r="H135" i="57"/>
  <c r="U134" i="57"/>
  <c r="S134" i="57"/>
  <c r="R134" i="57"/>
  <c r="Q134" i="57"/>
  <c r="T134" i="57" s="1"/>
  <c r="P134" i="57"/>
  <c r="U133" i="57"/>
  <c r="T133" i="57"/>
  <c r="N133" i="57"/>
  <c r="H133" i="57"/>
  <c r="H132" i="57" s="1"/>
  <c r="U132" i="57"/>
  <c r="T132" i="57"/>
  <c r="S132" i="57"/>
  <c r="R132" i="57"/>
  <c r="Q132" i="57"/>
  <c r="O132" i="57" s="1"/>
  <c r="P132" i="57"/>
  <c r="N132" i="57"/>
  <c r="M132" i="57"/>
  <c r="L132" i="57"/>
  <c r="U131" i="57"/>
  <c r="T131" i="57"/>
  <c r="N131" i="57"/>
  <c r="N130" i="57" s="1"/>
  <c r="O130" i="57" s="1"/>
  <c r="H131" i="57"/>
  <c r="U130" i="57"/>
  <c r="T130" i="57"/>
  <c r="S130" i="57"/>
  <c r="R130" i="57"/>
  <c r="Q130" i="57"/>
  <c r="P130" i="57"/>
  <c r="M130" i="57"/>
  <c r="L130" i="57"/>
  <c r="H130" i="57"/>
  <c r="U129" i="57"/>
  <c r="T129" i="57"/>
  <c r="N129" i="57"/>
  <c r="H129" i="57"/>
  <c r="H128" i="57" s="1"/>
  <c r="S128" i="57"/>
  <c r="R128" i="57"/>
  <c r="U128" i="57" s="1"/>
  <c r="Q128" i="57"/>
  <c r="P128" i="57"/>
  <c r="N128" i="57"/>
  <c r="O128" i="57" s="1"/>
  <c r="M128" i="57"/>
  <c r="L128" i="57"/>
  <c r="U127" i="57"/>
  <c r="T127" i="57"/>
  <c r="N127" i="57"/>
  <c r="H127" i="57"/>
  <c r="H126" i="57" s="1"/>
  <c r="U126" i="57"/>
  <c r="S126" i="57"/>
  <c r="R126" i="57"/>
  <c r="Q126" i="57"/>
  <c r="T126" i="57" s="1"/>
  <c r="P126" i="57"/>
  <c r="N126" i="57"/>
  <c r="M126" i="57"/>
  <c r="L126" i="57"/>
  <c r="U125" i="57"/>
  <c r="T125" i="57"/>
  <c r="N125" i="57"/>
  <c r="H125" i="57"/>
  <c r="H124" i="57" s="1"/>
  <c r="U124" i="57"/>
  <c r="T124" i="57"/>
  <c r="S124" i="57"/>
  <c r="R124" i="57"/>
  <c r="Q124" i="57"/>
  <c r="O124" i="57" s="1"/>
  <c r="P124" i="57"/>
  <c r="N124" i="57"/>
  <c r="M124" i="57"/>
  <c r="L124" i="57"/>
  <c r="U123" i="57"/>
  <c r="T123" i="57"/>
  <c r="N123" i="57"/>
  <c r="N122" i="57" s="1"/>
  <c r="O122" i="57" s="1"/>
  <c r="H123" i="57"/>
  <c r="U122" i="57"/>
  <c r="T122" i="57"/>
  <c r="S122" i="57"/>
  <c r="R122" i="57"/>
  <c r="Q122" i="57"/>
  <c r="P122" i="57"/>
  <c r="M122" i="57"/>
  <c r="L122" i="57"/>
  <c r="H122" i="57"/>
  <c r="U121" i="57"/>
  <c r="T121" i="57"/>
  <c r="N121" i="57"/>
  <c r="H121" i="57"/>
  <c r="H120" i="57" s="1"/>
  <c r="S120" i="57"/>
  <c r="R120" i="57"/>
  <c r="U120" i="57" s="1"/>
  <c r="Q120" i="57"/>
  <c r="P120" i="57"/>
  <c r="N120" i="57"/>
  <c r="O120" i="57" s="1"/>
  <c r="M120" i="57"/>
  <c r="L120" i="57"/>
  <c r="U119" i="57"/>
  <c r="T119" i="57"/>
  <c r="N119" i="57"/>
  <c r="H119" i="57"/>
  <c r="H118" i="57" s="1"/>
  <c r="U118" i="57"/>
  <c r="S118" i="57"/>
  <c r="R118" i="57"/>
  <c r="Q118" i="57"/>
  <c r="T118" i="57" s="1"/>
  <c r="P118" i="57"/>
  <c r="N118" i="57"/>
  <c r="M118" i="57"/>
  <c r="L118" i="57"/>
  <c r="U117" i="57"/>
  <c r="T117" i="57"/>
  <c r="N117" i="57"/>
  <c r="H117" i="57"/>
  <c r="H116" i="57" s="1"/>
  <c r="U116" i="57"/>
  <c r="T116" i="57"/>
  <c r="S116" i="57"/>
  <c r="R116" i="57"/>
  <c r="Q116" i="57"/>
  <c r="O116" i="57" s="1"/>
  <c r="P116" i="57"/>
  <c r="N116" i="57"/>
  <c r="M116" i="57"/>
  <c r="L116" i="57"/>
  <c r="U115" i="57"/>
  <c r="T115" i="57"/>
  <c r="N115" i="57"/>
  <c r="N114" i="57" s="1"/>
  <c r="O114" i="57" s="1"/>
  <c r="H115" i="57"/>
  <c r="U114" i="57"/>
  <c r="T114" i="57"/>
  <c r="S114" i="57"/>
  <c r="R114" i="57"/>
  <c r="Q114" i="57"/>
  <c r="P114" i="57"/>
  <c r="M114" i="57"/>
  <c r="L114" i="57"/>
  <c r="H114" i="57"/>
  <c r="U113" i="57"/>
  <c r="T113" i="57"/>
  <c r="N113" i="57"/>
  <c r="H113" i="57"/>
  <c r="H112" i="57" s="1"/>
  <c r="S112" i="57"/>
  <c r="R112" i="57"/>
  <c r="U112" i="57" s="1"/>
  <c r="Q112" i="57"/>
  <c r="P112" i="57"/>
  <c r="N112" i="57"/>
  <c r="O112" i="57" s="1"/>
  <c r="M112" i="57"/>
  <c r="L112" i="57"/>
  <c r="U111" i="57"/>
  <c r="T111" i="57"/>
  <c r="H111" i="57"/>
  <c r="U110" i="57"/>
  <c r="T110" i="57"/>
  <c r="H110" i="57"/>
  <c r="T109" i="57"/>
  <c r="S109" i="57"/>
  <c r="U109" i="57" s="1"/>
  <c r="R109" i="57"/>
  <c r="Q109" i="57"/>
  <c r="P109" i="57"/>
  <c r="O109" i="57"/>
  <c r="N109" i="57"/>
  <c r="M109" i="57"/>
  <c r="L109" i="57"/>
  <c r="H109" i="57"/>
  <c r="U108" i="57"/>
  <c r="T108" i="57"/>
  <c r="N108" i="57"/>
  <c r="H108" i="57"/>
  <c r="U107" i="57"/>
  <c r="T107" i="57"/>
  <c r="H107" i="57"/>
  <c r="H106" i="57" s="1"/>
  <c r="U106" i="57"/>
  <c r="S106" i="57"/>
  <c r="R106" i="57"/>
  <c r="Q106" i="57"/>
  <c r="T106" i="57" s="1"/>
  <c r="P106" i="57"/>
  <c r="N106" i="57"/>
  <c r="M106" i="57"/>
  <c r="L106" i="57"/>
  <c r="U105" i="57"/>
  <c r="T105" i="57"/>
  <c r="N105" i="57"/>
  <c r="H105" i="57"/>
  <c r="U104" i="57"/>
  <c r="T104" i="57"/>
  <c r="H104" i="57"/>
  <c r="T103" i="57"/>
  <c r="S103" i="57"/>
  <c r="U103" i="57" s="1"/>
  <c r="R103" i="57"/>
  <c r="Q103" i="57"/>
  <c r="P103" i="57"/>
  <c r="O103" i="57"/>
  <c r="N103" i="57"/>
  <c r="M103" i="57"/>
  <c r="L103" i="57"/>
  <c r="H103" i="57"/>
  <c r="U102" i="57"/>
  <c r="T102" i="57"/>
  <c r="U101" i="57"/>
  <c r="T101" i="57"/>
  <c r="H101" i="57"/>
  <c r="T100" i="57"/>
  <c r="S100" i="57"/>
  <c r="U100" i="57" s="1"/>
  <c r="R100" i="57"/>
  <c r="Q100" i="57"/>
  <c r="P100" i="57"/>
  <c r="O100" i="57"/>
  <c r="N100" i="57"/>
  <c r="M100" i="57"/>
  <c r="L100" i="57"/>
  <c r="H100" i="57"/>
  <c r="U96" i="57"/>
  <c r="T96" i="57"/>
  <c r="U95" i="57"/>
  <c r="T95" i="57"/>
  <c r="N95" i="57"/>
  <c r="H95" i="57"/>
  <c r="H93" i="57" s="1"/>
  <c r="U94" i="57"/>
  <c r="S94" i="57"/>
  <c r="R94" i="57"/>
  <c r="Q94" i="57"/>
  <c r="T94" i="57" s="1"/>
  <c r="P94" i="57"/>
  <c r="N94" i="57"/>
  <c r="M94" i="57"/>
  <c r="L94" i="57"/>
  <c r="U91" i="57"/>
  <c r="T91" i="57"/>
  <c r="N91" i="57"/>
  <c r="H91" i="57"/>
  <c r="H89" i="57" s="1"/>
  <c r="U90" i="57"/>
  <c r="T90" i="57"/>
  <c r="S90" i="57"/>
  <c r="R90" i="57"/>
  <c r="Q90" i="57"/>
  <c r="O90" i="57" s="1"/>
  <c r="P90" i="57"/>
  <c r="N90" i="57"/>
  <c r="M90" i="57"/>
  <c r="L90" i="57"/>
  <c r="U87" i="57"/>
  <c r="T87" i="57"/>
  <c r="N87" i="57"/>
  <c r="N84" i="57" s="1"/>
  <c r="U86" i="57"/>
  <c r="T86" i="57"/>
  <c r="N86" i="57"/>
  <c r="U85" i="57"/>
  <c r="T85" i="57"/>
  <c r="N85" i="57"/>
  <c r="H85" i="57"/>
  <c r="H83" i="57" s="1"/>
  <c r="U84" i="57"/>
  <c r="S84" i="57"/>
  <c r="R84" i="57"/>
  <c r="Q84" i="57"/>
  <c r="T84" i="57" s="1"/>
  <c r="P84" i="57"/>
  <c r="M84" i="57"/>
  <c r="L84" i="57"/>
  <c r="U82" i="57"/>
  <c r="T82" i="57"/>
  <c r="N82" i="57"/>
  <c r="H82" i="57"/>
  <c r="H81" i="57" s="1"/>
  <c r="U81" i="57"/>
  <c r="T81" i="57"/>
  <c r="S81" i="57"/>
  <c r="R81" i="57"/>
  <c r="Q81" i="57"/>
  <c r="O81" i="57" s="1"/>
  <c r="P81" i="57"/>
  <c r="N81" i="57"/>
  <c r="M81" i="57"/>
  <c r="L81" i="57"/>
  <c r="U80" i="57"/>
  <c r="T80" i="57"/>
  <c r="N80" i="57"/>
  <c r="N79" i="57" s="1"/>
  <c r="O79" i="57" s="1"/>
  <c r="H80" i="57"/>
  <c r="T79" i="57"/>
  <c r="S79" i="57"/>
  <c r="U79" i="57" s="1"/>
  <c r="R79" i="57"/>
  <c r="Q79" i="57"/>
  <c r="P79" i="57"/>
  <c r="M79" i="57"/>
  <c r="L79" i="57"/>
  <c r="H79" i="57"/>
  <c r="U78" i="57"/>
  <c r="T78" i="57"/>
  <c r="N78" i="57"/>
  <c r="H78" i="57"/>
  <c r="H77" i="57" s="1"/>
  <c r="S77" i="57"/>
  <c r="R77" i="57"/>
  <c r="U77" i="57" s="1"/>
  <c r="Q77" i="57"/>
  <c r="P77" i="57"/>
  <c r="N77" i="57"/>
  <c r="O77" i="57" s="1"/>
  <c r="M77" i="57"/>
  <c r="L77" i="57"/>
  <c r="U76" i="57"/>
  <c r="T76" i="57"/>
  <c r="N76" i="57"/>
  <c r="H76" i="57"/>
  <c r="H75" i="57" s="1"/>
  <c r="U75" i="57"/>
  <c r="S75" i="57"/>
  <c r="R75" i="57"/>
  <c r="Q75" i="57"/>
  <c r="T75" i="57" s="1"/>
  <c r="P75" i="57"/>
  <c r="N75" i="57"/>
  <c r="M75" i="57"/>
  <c r="L75" i="57"/>
  <c r="U74" i="57"/>
  <c r="T74" i="57"/>
  <c r="N74" i="57"/>
  <c r="H74" i="57"/>
  <c r="H73" i="57" s="1"/>
  <c r="U73" i="57"/>
  <c r="T73" i="57"/>
  <c r="S73" i="57"/>
  <c r="R73" i="57"/>
  <c r="Q73" i="57"/>
  <c r="O73" i="57" s="1"/>
  <c r="P73" i="57"/>
  <c r="N73" i="57"/>
  <c r="M73" i="57"/>
  <c r="L73" i="57"/>
  <c r="U72" i="57"/>
  <c r="T72" i="57"/>
  <c r="N72" i="57"/>
  <c r="N71" i="57" s="1"/>
  <c r="O71" i="57" s="1"/>
  <c r="H72" i="57"/>
  <c r="T71" i="57"/>
  <c r="S71" i="57"/>
  <c r="U71" i="57" s="1"/>
  <c r="R71" i="57"/>
  <c r="Q71" i="57"/>
  <c r="P71" i="57"/>
  <c r="M71" i="57"/>
  <c r="L71" i="57"/>
  <c r="H71" i="57"/>
  <c r="U70" i="57"/>
  <c r="T70" i="57"/>
  <c r="N70" i="57"/>
  <c r="H70" i="57"/>
  <c r="H69" i="57" s="1"/>
  <c r="S69" i="57"/>
  <c r="R69" i="57"/>
  <c r="U69" i="57" s="1"/>
  <c r="Q69" i="57"/>
  <c r="P69" i="57"/>
  <c r="N69" i="57"/>
  <c r="O69" i="57" s="1"/>
  <c r="M69" i="57"/>
  <c r="L69" i="57"/>
  <c r="U68" i="57"/>
  <c r="T68" i="57"/>
  <c r="N68" i="57"/>
  <c r="H68" i="57"/>
  <c r="H67" i="57" s="1"/>
  <c r="U67" i="57"/>
  <c r="S67" i="57"/>
  <c r="R67" i="57"/>
  <c r="Q67" i="57"/>
  <c r="T67" i="57" s="1"/>
  <c r="P67" i="57"/>
  <c r="N67" i="57"/>
  <c r="M67" i="57"/>
  <c r="L67" i="57"/>
  <c r="U66" i="57"/>
  <c r="T66" i="57"/>
  <c r="N66" i="57"/>
  <c r="H66" i="57"/>
  <c r="H65" i="57" s="1"/>
  <c r="U65" i="57"/>
  <c r="T65" i="57"/>
  <c r="S65" i="57"/>
  <c r="R65" i="57"/>
  <c r="Q65" i="57"/>
  <c r="O65" i="57" s="1"/>
  <c r="P65" i="57"/>
  <c r="N65" i="57"/>
  <c r="M65" i="57"/>
  <c r="L65" i="57"/>
  <c r="U64" i="57"/>
  <c r="T64" i="57"/>
  <c r="N64" i="57"/>
  <c r="N63" i="57" s="1"/>
  <c r="O63" i="57" s="1"/>
  <c r="H64" i="57"/>
  <c r="T63" i="57"/>
  <c r="S63" i="57"/>
  <c r="U63" i="57" s="1"/>
  <c r="R63" i="57"/>
  <c r="Q63" i="57"/>
  <c r="P63" i="57"/>
  <c r="M63" i="57"/>
  <c r="L63" i="57"/>
  <c r="H63" i="57"/>
  <c r="U62" i="57"/>
  <c r="T62" i="57"/>
  <c r="N62" i="57"/>
  <c r="H62" i="57"/>
  <c r="H61" i="57" s="1"/>
  <c r="S61" i="57"/>
  <c r="R61" i="57"/>
  <c r="U61" i="57" s="1"/>
  <c r="Q61" i="57"/>
  <c r="P61" i="57"/>
  <c r="N61" i="57"/>
  <c r="O61" i="57" s="1"/>
  <c r="M61" i="57"/>
  <c r="L61" i="57"/>
  <c r="U60" i="57"/>
  <c r="T60" i="57"/>
  <c r="N60" i="57"/>
  <c r="H60" i="57"/>
  <c r="H59" i="57" s="1"/>
  <c r="U59" i="57"/>
  <c r="S59" i="57"/>
  <c r="R59" i="57"/>
  <c r="Q59" i="57"/>
  <c r="T59" i="57" s="1"/>
  <c r="P59" i="57"/>
  <c r="N59" i="57"/>
  <c r="M59" i="57"/>
  <c r="L59" i="57"/>
  <c r="U58" i="57"/>
  <c r="T58" i="57"/>
  <c r="N58" i="57"/>
  <c r="H58" i="57"/>
  <c r="H57" i="57" s="1"/>
  <c r="U57" i="57"/>
  <c r="T57" i="57"/>
  <c r="S57" i="57"/>
  <c r="R57" i="57"/>
  <c r="Q57" i="57"/>
  <c r="O57" i="57" s="1"/>
  <c r="P57" i="57"/>
  <c r="N57" i="57"/>
  <c r="M57" i="57"/>
  <c r="L57" i="57"/>
  <c r="U56" i="57"/>
  <c r="T56" i="57"/>
  <c r="N56" i="57"/>
  <c r="N55" i="57" s="1"/>
  <c r="O55" i="57" s="1"/>
  <c r="H56" i="57"/>
  <c r="T55" i="57"/>
  <c r="S55" i="57"/>
  <c r="U55" i="57" s="1"/>
  <c r="R55" i="57"/>
  <c r="Q55" i="57"/>
  <c r="P55" i="57"/>
  <c r="M55" i="57"/>
  <c r="L55" i="57"/>
  <c r="H55" i="57"/>
  <c r="U54" i="57"/>
  <c r="T54" i="57"/>
  <c r="N54" i="57"/>
  <c r="H54" i="57"/>
  <c r="H53" i="57" s="1"/>
  <c r="S53" i="57"/>
  <c r="R53" i="57"/>
  <c r="U53" i="57" s="1"/>
  <c r="Q53" i="57"/>
  <c r="P53" i="57"/>
  <c r="N53" i="57"/>
  <c r="O53" i="57" s="1"/>
  <c r="M53" i="57"/>
  <c r="L53" i="57"/>
  <c r="U52" i="57"/>
  <c r="T52" i="57"/>
  <c r="N52" i="57"/>
  <c r="H52" i="57"/>
  <c r="U51" i="57"/>
  <c r="T51" i="57"/>
  <c r="N51" i="57"/>
  <c r="H51" i="57"/>
  <c r="U50" i="57"/>
  <c r="T50" i="57"/>
  <c r="N50" i="57"/>
  <c r="H50" i="57"/>
  <c r="H49" i="57" s="1"/>
  <c r="U49" i="57"/>
  <c r="S49" i="57"/>
  <c r="R49" i="57"/>
  <c r="Q49" i="57"/>
  <c r="T49" i="57" s="1"/>
  <c r="P49" i="57"/>
  <c r="N49" i="57"/>
  <c r="M49" i="57"/>
  <c r="L49" i="57"/>
  <c r="U47" i="57"/>
  <c r="T47" i="57"/>
  <c r="N47" i="57"/>
  <c r="H47" i="57"/>
  <c r="H45" i="57" s="1"/>
  <c r="U46" i="57"/>
  <c r="S46" i="57"/>
  <c r="R46" i="57"/>
  <c r="Q46" i="57"/>
  <c r="T46" i="57" s="1"/>
  <c r="P46" i="57"/>
  <c r="N46" i="57"/>
  <c r="M46" i="57"/>
  <c r="L46" i="57"/>
  <c r="U43" i="57"/>
  <c r="T43" i="57"/>
  <c r="N43" i="57"/>
  <c r="H43" i="57"/>
  <c r="H41" i="57" s="1"/>
  <c r="U42" i="57"/>
  <c r="T42" i="57"/>
  <c r="S42" i="57"/>
  <c r="R42" i="57"/>
  <c r="Q42" i="57"/>
  <c r="O42" i="57" s="1"/>
  <c r="P42" i="57"/>
  <c r="N42" i="57"/>
  <c r="M42" i="57"/>
  <c r="L42" i="57"/>
  <c r="U37" i="57"/>
  <c r="T37" i="57"/>
  <c r="N37" i="57"/>
  <c r="N34" i="57" s="1"/>
  <c r="U36" i="57"/>
  <c r="T36" i="57"/>
  <c r="H36" i="57"/>
  <c r="U35" i="57"/>
  <c r="T35" i="57"/>
  <c r="N35" i="57"/>
  <c r="H35" i="57"/>
  <c r="H34" i="57" s="1"/>
  <c r="H33" i="57" s="1"/>
  <c r="U34" i="57"/>
  <c r="S34" i="57"/>
  <c r="R34" i="57"/>
  <c r="Q34" i="57"/>
  <c r="T34" i="57" s="1"/>
  <c r="P34" i="57"/>
  <c r="M34" i="57"/>
  <c r="L34" i="57"/>
  <c r="U32" i="57"/>
  <c r="T32" i="57"/>
  <c r="N32" i="57"/>
  <c r="H32" i="57"/>
  <c r="H31" i="57" s="1"/>
  <c r="U31" i="57"/>
  <c r="S31" i="57"/>
  <c r="R31" i="57"/>
  <c r="Q31" i="57"/>
  <c r="T31" i="57" s="1"/>
  <c r="P31" i="57"/>
  <c r="N31" i="57"/>
  <c r="M31" i="57"/>
  <c r="L31" i="57"/>
  <c r="U30" i="57"/>
  <c r="T30" i="57"/>
  <c r="N30" i="57"/>
  <c r="H30" i="57"/>
  <c r="H29" i="57" s="1"/>
  <c r="U29" i="57"/>
  <c r="T29" i="57"/>
  <c r="S29" i="57"/>
  <c r="R29" i="57"/>
  <c r="Q29" i="57"/>
  <c r="O29" i="57" s="1"/>
  <c r="P29" i="57"/>
  <c r="N29" i="57"/>
  <c r="M29" i="57"/>
  <c r="L29" i="57"/>
  <c r="U28" i="57"/>
  <c r="T28" i="57"/>
  <c r="N28" i="57"/>
  <c r="N27" i="57" s="1"/>
  <c r="O27" i="57" s="1"/>
  <c r="H28" i="57"/>
  <c r="T27" i="57"/>
  <c r="S27" i="57"/>
  <c r="U27" i="57" s="1"/>
  <c r="R27" i="57"/>
  <c r="Q27" i="57"/>
  <c r="P27" i="57"/>
  <c r="M27" i="57"/>
  <c r="L27" i="57"/>
  <c r="H27" i="57"/>
  <c r="U26" i="57"/>
  <c r="T26" i="57"/>
  <c r="N26" i="57"/>
  <c r="H26" i="57"/>
  <c r="H25" i="57" s="1"/>
  <c r="S25" i="57"/>
  <c r="R25" i="57"/>
  <c r="U25" i="57" s="1"/>
  <c r="Q25" i="57"/>
  <c r="P25" i="57"/>
  <c r="N25" i="57"/>
  <c r="O25" i="57" s="1"/>
  <c r="M25" i="57"/>
  <c r="L25" i="57"/>
  <c r="U24" i="57"/>
  <c r="T24" i="57"/>
  <c r="N24" i="57"/>
  <c r="H24" i="57"/>
  <c r="H23" i="57" s="1"/>
  <c r="U23" i="57"/>
  <c r="S23" i="57"/>
  <c r="R23" i="57"/>
  <c r="Q23" i="57"/>
  <c r="T23" i="57" s="1"/>
  <c r="P23" i="57"/>
  <c r="N23" i="57"/>
  <c r="M23" i="57"/>
  <c r="L23" i="57"/>
  <c r="U22" i="57"/>
  <c r="T22" i="57"/>
  <c r="N22" i="57"/>
  <c r="H22" i="57"/>
  <c r="H21" i="57" s="1"/>
  <c r="U21" i="57"/>
  <c r="T21" i="57"/>
  <c r="S21" i="57"/>
  <c r="R21" i="57"/>
  <c r="Q21" i="57"/>
  <c r="O21" i="57" s="1"/>
  <c r="P21" i="57"/>
  <c r="N21" i="57"/>
  <c r="M21" i="57"/>
  <c r="L21" i="57"/>
  <c r="U20" i="57"/>
  <c r="T20" i="57"/>
  <c r="N20" i="57"/>
  <c r="N19" i="57" s="1"/>
  <c r="O19" i="57" s="1"/>
  <c r="H20" i="57"/>
  <c r="T19" i="57"/>
  <c r="S19" i="57"/>
  <c r="U19" i="57" s="1"/>
  <c r="R19" i="57"/>
  <c r="Q19" i="57"/>
  <c r="P19" i="57"/>
  <c r="M19" i="57"/>
  <c r="L19" i="57"/>
  <c r="H19" i="57"/>
  <c r="U18" i="57"/>
  <c r="T18" i="57"/>
  <c r="N18" i="57"/>
  <c r="H18" i="57"/>
  <c r="H17" i="57" s="1"/>
  <c r="S17" i="57"/>
  <c r="R17" i="57"/>
  <c r="U17" i="57" s="1"/>
  <c r="Q17" i="57"/>
  <c r="P17" i="57"/>
  <c r="N17" i="57"/>
  <c r="O17" i="57" s="1"/>
  <c r="M17" i="57"/>
  <c r="L17" i="57"/>
  <c r="U16" i="57"/>
  <c r="T16" i="57"/>
  <c r="N16" i="57"/>
  <c r="H16" i="57"/>
  <c r="H15" i="57" s="1"/>
  <c r="U15" i="57"/>
  <c r="S15" i="57"/>
  <c r="R15" i="57"/>
  <c r="Q15" i="57"/>
  <c r="T15" i="57" s="1"/>
  <c r="P15" i="57"/>
  <c r="N15" i="57"/>
  <c r="M15" i="57"/>
  <c r="L15" i="57"/>
  <c r="U14" i="57"/>
  <c r="T14" i="57"/>
  <c r="N14" i="57"/>
  <c r="H14" i="57"/>
  <c r="H13" i="57" s="1"/>
  <c r="U13" i="57"/>
  <c r="T13" i="57"/>
  <c r="S13" i="57"/>
  <c r="R13" i="57"/>
  <c r="Q13" i="57"/>
  <c r="O13" i="57" s="1"/>
  <c r="P13" i="57"/>
  <c r="N13" i="57"/>
  <c r="M13" i="57"/>
  <c r="L13" i="57"/>
  <c r="U12" i="57"/>
  <c r="T12" i="57"/>
  <c r="N12" i="57"/>
  <c r="N11" i="57" s="1"/>
  <c r="O11" i="57" s="1"/>
  <c r="H12" i="57"/>
  <c r="U11" i="57"/>
  <c r="T11" i="57"/>
  <c r="S11" i="57"/>
  <c r="S153" i="57" s="1"/>
  <c r="S155" i="57" s="1"/>
  <c r="R11" i="57"/>
  <c r="R153" i="57" s="1"/>
  <c r="Q11" i="57"/>
  <c r="P11" i="57"/>
  <c r="P153" i="57" s="1"/>
  <c r="P155" i="57" s="1"/>
  <c r="M11" i="57"/>
  <c r="L11" i="57"/>
  <c r="H11" i="57"/>
  <c r="H10" i="57" s="1"/>
  <c r="H48" i="57" l="1"/>
  <c r="H99" i="57"/>
  <c r="R155" i="57"/>
  <c r="U153" i="57"/>
  <c r="O154" i="57"/>
  <c r="Q153" i="57"/>
  <c r="O15" i="57"/>
  <c r="T17" i="57"/>
  <c r="O23" i="57"/>
  <c r="T25" i="57"/>
  <c r="O34" i="57"/>
  <c r="O46" i="57"/>
  <c r="O49" i="57"/>
  <c r="T53" i="57"/>
  <c r="O59" i="57"/>
  <c r="T61" i="57"/>
  <c r="O67" i="57"/>
  <c r="T69" i="57"/>
  <c r="O75" i="57"/>
  <c r="T77" i="57"/>
  <c r="O84" i="57"/>
  <c r="O94" i="57"/>
  <c r="O106" i="57"/>
  <c r="T112" i="57"/>
  <c r="O118" i="57"/>
  <c r="T120" i="57"/>
  <c r="O126" i="57"/>
  <c r="T128" i="57"/>
  <c r="O134" i="57"/>
  <c r="T138" i="57"/>
  <c r="O31" i="57"/>
  <c r="O153" i="57" l="1"/>
  <c r="T153" i="57"/>
  <c r="Q155" i="57"/>
  <c r="T151" i="56" l="1"/>
  <c r="U150" i="56"/>
  <c r="T150" i="56"/>
  <c r="N150" i="56"/>
  <c r="T149" i="56"/>
  <c r="S149" i="56"/>
  <c r="U149" i="56" s="1"/>
  <c r="R149" i="56"/>
  <c r="Q149" i="56"/>
  <c r="P149" i="56"/>
  <c r="N149" i="56"/>
  <c r="O149" i="56" s="1"/>
  <c r="M149" i="56"/>
  <c r="L149" i="56"/>
  <c r="K149" i="56"/>
  <c r="H148" i="56"/>
  <c r="U147" i="56"/>
  <c r="T147" i="56"/>
  <c r="U146" i="56"/>
  <c r="T146" i="56"/>
  <c r="T145" i="56"/>
  <c r="S145" i="56"/>
  <c r="U145" i="56" s="1"/>
  <c r="R145" i="56"/>
  <c r="Q145" i="56"/>
  <c r="P145" i="56"/>
  <c r="N145" i="56"/>
  <c r="O145" i="56" s="1"/>
  <c r="M145" i="56"/>
  <c r="L145" i="56"/>
  <c r="K145" i="56"/>
  <c r="H144" i="56"/>
  <c r="U142" i="56"/>
  <c r="T142" i="56"/>
  <c r="U141" i="56"/>
  <c r="T141" i="56"/>
  <c r="T140" i="56"/>
  <c r="S140" i="56"/>
  <c r="U140" i="56" s="1"/>
  <c r="R140" i="56"/>
  <c r="Q140" i="56"/>
  <c r="P140" i="56"/>
  <c r="N140" i="56"/>
  <c r="O140" i="56" s="1"/>
  <c r="M140" i="56"/>
  <c r="L140" i="56"/>
  <c r="K140" i="56"/>
  <c r="H139" i="56"/>
  <c r="U136" i="56"/>
  <c r="T136" i="56"/>
  <c r="S135" i="56"/>
  <c r="R135" i="56"/>
  <c r="U135" i="56" s="1"/>
  <c r="Q135" i="56"/>
  <c r="O135" i="56" s="1"/>
  <c r="P135" i="56"/>
  <c r="N135" i="56"/>
  <c r="M135" i="56"/>
  <c r="L135" i="56"/>
  <c r="K135" i="56"/>
  <c r="H134" i="56"/>
  <c r="T130" i="56"/>
  <c r="T129" i="56"/>
  <c r="Q129" i="56"/>
  <c r="P129" i="56"/>
  <c r="N129" i="56"/>
  <c r="O129" i="56" s="1"/>
  <c r="M129" i="56"/>
  <c r="L129" i="56"/>
  <c r="K129" i="56"/>
  <c r="H128" i="56"/>
  <c r="U125" i="56"/>
  <c r="T125" i="56"/>
  <c r="S124" i="56"/>
  <c r="R124" i="56"/>
  <c r="U124" i="56" s="1"/>
  <c r="Q124" i="56"/>
  <c r="O124" i="56" s="1"/>
  <c r="P124" i="56"/>
  <c r="N124" i="56"/>
  <c r="M124" i="56"/>
  <c r="L124" i="56"/>
  <c r="K124" i="56"/>
  <c r="H123" i="56"/>
  <c r="U119" i="56"/>
  <c r="T119" i="56"/>
  <c r="T118" i="56"/>
  <c r="S118" i="56"/>
  <c r="U118" i="56" s="1"/>
  <c r="R118" i="56"/>
  <c r="Q118" i="56"/>
  <c r="P118" i="56"/>
  <c r="N118" i="56"/>
  <c r="O118" i="56" s="1"/>
  <c r="M118" i="56"/>
  <c r="L118" i="56"/>
  <c r="K118" i="56"/>
  <c r="H117" i="56"/>
  <c r="T115" i="56"/>
  <c r="N115" i="56"/>
  <c r="N114" i="56" s="1"/>
  <c r="S114" i="56"/>
  <c r="R114" i="56"/>
  <c r="Q114" i="56"/>
  <c r="T114" i="56" s="1"/>
  <c r="P114" i="56"/>
  <c r="M114" i="56"/>
  <c r="L114" i="56"/>
  <c r="K114" i="56"/>
  <c r="U112" i="56"/>
  <c r="T112" i="56"/>
  <c r="S111" i="56"/>
  <c r="R111" i="56"/>
  <c r="U111" i="56" s="1"/>
  <c r="Q111" i="56"/>
  <c r="O111" i="56" s="1"/>
  <c r="P111" i="56"/>
  <c r="N111" i="56"/>
  <c r="M111" i="56"/>
  <c r="L111" i="56"/>
  <c r="K111" i="56"/>
  <c r="H110" i="56"/>
  <c r="T106" i="56"/>
  <c r="S105" i="56"/>
  <c r="R105" i="56"/>
  <c r="T105" i="56" s="1"/>
  <c r="Q105" i="56"/>
  <c r="O105" i="56" s="1"/>
  <c r="P105" i="56"/>
  <c r="N105" i="56"/>
  <c r="M105" i="56"/>
  <c r="L105" i="56"/>
  <c r="K105" i="56"/>
  <c r="H104" i="56"/>
  <c r="T102" i="56"/>
  <c r="S101" i="56"/>
  <c r="R101" i="56"/>
  <c r="T101" i="56" s="1"/>
  <c r="Q101" i="56"/>
  <c r="O101" i="56" s="1"/>
  <c r="P101" i="56"/>
  <c r="N101" i="56"/>
  <c r="M101" i="56"/>
  <c r="L101" i="56"/>
  <c r="K101" i="56"/>
  <c r="T99" i="56"/>
  <c r="S99" i="56"/>
  <c r="R99" i="56"/>
  <c r="Q99" i="56"/>
  <c r="P99" i="56"/>
  <c r="N99" i="56"/>
  <c r="O99" i="56" s="1"/>
  <c r="M99" i="56"/>
  <c r="L99" i="56"/>
  <c r="K99" i="56"/>
  <c r="S96" i="56"/>
  <c r="R96" i="56"/>
  <c r="T96" i="56" s="1"/>
  <c r="Q96" i="56"/>
  <c r="O96" i="56" s="1"/>
  <c r="P96" i="56"/>
  <c r="N96" i="56"/>
  <c r="M96" i="56"/>
  <c r="L96" i="56"/>
  <c r="K96" i="56"/>
  <c r="T94" i="56"/>
  <c r="S94" i="56"/>
  <c r="R94" i="56"/>
  <c r="Q94" i="56"/>
  <c r="P94" i="56"/>
  <c r="N94" i="56"/>
  <c r="O94" i="56" s="1"/>
  <c r="M94" i="56"/>
  <c r="L94" i="56"/>
  <c r="K94" i="56"/>
  <c r="S91" i="56"/>
  <c r="R91" i="56"/>
  <c r="T91" i="56" s="1"/>
  <c r="Q91" i="56"/>
  <c r="O91" i="56" s="1"/>
  <c r="P91" i="56"/>
  <c r="N91" i="56"/>
  <c r="M91" i="56"/>
  <c r="L91" i="56"/>
  <c r="K91" i="56"/>
  <c r="H90" i="56"/>
  <c r="U87" i="56"/>
  <c r="T87" i="56"/>
  <c r="T86" i="56"/>
  <c r="S86" i="56"/>
  <c r="U86" i="56" s="1"/>
  <c r="R86" i="56"/>
  <c r="Q86" i="56"/>
  <c r="P86" i="56"/>
  <c r="N86" i="56"/>
  <c r="O86" i="56" s="1"/>
  <c r="M86" i="56"/>
  <c r="L86" i="56"/>
  <c r="K86" i="56"/>
  <c r="H85" i="56"/>
  <c r="S82" i="56"/>
  <c r="R82" i="56"/>
  <c r="T82" i="56" s="1"/>
  <c r="Q82" i="56"/>
  <c r="P82" i="56"/>
  <c r="O82" i="56"/>
  <c r="N82" i="56"/>
  <c r="M82" i="56"/>
  <c r="L82" i="56"/>
  <c r="K82" i="56"/>
  <c r="H81" i="56"/>
  <c r="S79" i="56"/>
  <c r="R79" i="56"/>
  <c r="T79" i="56" s="1"/>
  <c r="Q79" i="56"/>
  <c r="O79" i="56" s="1"/>
  <c r="P79" i="56"/>
  <c r="N79" i="56"/>
  <c r="M79" i="56"/>
  <c r="L79" i="56"/>
  <c r="K79" i="56"/>
  <c r="H78" i="56"/>
  <c r="S76" i="56"/>
  <c r="R76" i="56"/>
  <c r="Q76" i="56"/>
  <c r="T76" i="56" s="1"/>
  <c r="P76" i="56"/>
  <c r="N76" i="56"/>
  <c r="M76" i="56"/>
  <c r="L76" i="56"/>
  <c r="K76" i="56"/>
  <c r="H75" i="56"/>
  <c r="T73" i="56"/>
  <c r="S73" i="56"/>
  <c r="R73" i="56"/>
  <c r="Q73" i="56"/>
  <c r="P73" i="56"/>
  <c r="N73" i="56"/>
  <c r="O73" i="56" s="1"/>
  <c r="M73" i="56"/>
  <c r="L73" i="56"/>
  <c r="K73" i="56"/>
  <c r="H72" i="56"/>
  <c r="T69" i="56"/>
  <c r="U68" i="56"/>
  <c r="S68" i="56"/>
  <c r="R68" i="56"/>
  <c r="Q68" i="56"/>
  <c r="T68" i="56" s="1"/>
  <c r="P68" i="56"/>
  <c r="N68" i="56"/>
  <c r="M68" i="56"/>
  <c r="L68" i="56"/>
  <c r="K68" i="56"/>
  <c r="H67" i="56"/>
  <c r="T65" i="56"/>
  <c r="S65" i="56"/>
  <c r="R65" i="56"/>
  <c r="Q65" i="56"/>
  <c r="P65" i="56"/>
  <c r="N65" i="56"/>
  <c r="O65" i="56" s="1"/>
  <c r="M65" i="56"/>
  <c r="L65" i="56"/>
  <c r="K65" i="56"/>
  <c r="S62" i="56"/>
  <c r="R62" i="56"/>
  <c r="T62" i="56" s="1"/>
  <c r="Q62" i="56"/>
  <c r="O62" i="56" s="1"/>
  <c r="P62" i="56"/>
  <c r="N62" i="56"/>
  <c r="M62" i="56"/>
  <c r="L62" i="56"/>
  <c r="K62" i="56"/>
  <c r="T60" i="56"/>
  <c r="S60" i="56"/>
  <c r="R60" i="56"/>
  <c r="Q60" i="56"/>
  <c r="P60" i="56"/>
  <c r="N60" i="56"/>
  <c r="O60" i="56" s="1"/>
  <c r="M60" i="56"/>
  <c r="L60" i="56"/>
  <c r="K60" i="56"/>
  <c r="H59" i="56"/>
  <c r="U58" i="56"/>
  <c r="T58" i="56"/>
  <c r="N58" i="56"/>
  <c r="S57" i="56"/>
  <c r="U57" i="56" s="1"/>
  <c r="R57" i="56"/>
  <c r="T57" i="56" s="1"/>
  <c r="Q57" i="56"/>
  <c r="P57" i="56"/>
  <c r="O57" i="56"/>
  <c r="N57" i="56"/>
  <c r="M57" i="56"/>
  <c r="L57" i="56"/>
  <c r="K57" i="56"/>
  <c r="H56" i="56"/>
  <c r="S54" i="56"/>
  <c r="R54" i="56"/>
  <c r="T54" i="56" s="1"/>
  <c r="Q54" i="56"/>
  <c r="O54" i="56" s="1"/>
  <c r="P54" i="56"/>
  <c r="N54" i="56"/>
  <c r="M54" i="56"/>
  <c r="L54" i="56"/>
  <c r="K54" i="56"/>
  <c r="T52" i="56"/>
  <c r="S52" i="56"/>
  <c r="R52" i="56"/>
  <c r="Q52" i="56"/>
  <c r="P52" i="56"/>
  <c r="N52" i="56"/>
  <c r="O52" i="56" s="1"/>
  <c r="M52" i="56"/>
  <c r="L52" i="56"/>
  <c r="K52" i="56"/>
  <c r="H51" i="56"/>
  <c r="T50" i="56"/>
  <c r="T49" i="56"/>
  <c r="S49" i="56"/>
  <c r="R49" i="56"/>
  <c r="Q49" i="56"/>
  <c r="P49" i="56"/>
  <c r="N49" i="56"/>
  <c r="O49" i="56" s="1"/>
  <c r="M49" i="56"/>
  <c r="L49" i="56"/>
  <c r="K49" i="56"/>
  <c r="U48" i="56"/>
  <c r="T48" i="56"/>
  <c r="U47" i="56"/>
  <c r="S47" i="56"/>
  <c r="R47" i="56"/>
  <c r="Q47" i="56"/>
  <c r="T47" i="56" s="1"/>
  <c r="P47" i="56"/>
  <c r="N47" i="56"/>
  <c r="M47" i="56"/>
  <c r="L47" i="56"/>
  <c r="K47" i="56"/>
  <c r="T46" i="56"/>
  <c r="T45" i="56"/>
  <c r="S45" i="56"/>
  <c r="R45" i="56"/>
  <c r="Q45" i="56"/>
  <c r="P45" i="56"/>
  <c r="N45" i="56"/>
  <c r="O45" i="56" s="1"/>
  <c r="M45" i="56"/>
  <c r="L45" i="56"/>
  <c r="K45" i="56"/>
  <c r="S43" i="56"/>
  <c r="R43" i="56"/>
  <c r="T43" i="56" s="1"/>
  <c r="Q43" i="56"/>
  <c r="O43" i="56" s="1"/>
  <c r="P43" i="56"/>
  <c r="N43" i="56"/>
  <c r="M43" i="56"/>
  <c r="L43" i="56"/>
  <c r="K43" i="56"/>
  <c r="T42" i="56"/>
  <c r="S41" i="56"/>
  <c r="R41" i="56"/>
  <c r="Q41" i="56"/>
  <c r="T41" i="56" s="1"/>
  <c r="P41" i="56"/>
  <c r="N41" i="56"/>
  <c r="M41" i="56"/>
  <c r="L41" i="56"/>
  <c r="K41" i="56"/>
  <c r="T40" i="56"/>
  <c r="T39" i="56"/>
  <c r="S39" i="56"/>
  <c r="R39" i="56"/>
  <c r="Q39" i="56"/>
  <c r="P39" i="56"/>
  <c r="N39" i="56"/>
  <c r="O39" i="56" s="1"/>
  <c r="M39" i="56"/>
  <c r="L39" i="56"/>
  <c r="K39" i="56"/>
  <c r="T38" i="56"/>
  <c r="S37" i="56"/>
  <c r="S153" i="56" s="1"/>
  <c r="R37" i="56"/>
  <c r="T37" i="56" s="1"/>
  <c r="Q37" i="56"/>
  <c r="P37" i="56"/>
  <c r="O37" i="56"/>
  <c r="N37" i="56"/>
  <c r="M37" i="56"/>
  <c r="L37" i="56"/>
  <c r="K37" i="56"/>
  <c r="H36" i="56"/>
  <c r="U35" i="56"/>
  <c r="T35" i="56"/>
  <c r="U34" i="56"/>
  <c r="S34" i="56"/>
  <c r="R34" i="56"/>
  <c r="Q34" i="56"/>
  <c r="T34" i="56" s="1"/>
  <c r="P34" i="56"/>
  <c r="N34" i="56"/>
  <c r="M34" i="56"/>
  <c r="L34" i="56"/>
  <c r="K34" i="56"/>
  <c r="H33" i="56"/>
  <c r="T32" i="56"/>
  <c r="S30" i="56"/>
  <c r="R30" i="56"/>
  <c r="Q30" i="56"/>
  <c r="T30" i="56" s="1"/>
  <c r="P30" i="56"/>
  <c r="N30" i="56"/>
  <c r="M30" i="56"/>
  <c r="L30" i="56"/>
  <c r="K30" i="56"/>
  <c r="H29" i="56"/>
  <c r="U27" i="56"/>
  <c r="T27" i="56"/>
  <c r="N27" i="56"/>
  <c r="T26" i="56"/>
  <c r="S26" i="56"/>
  <c r="U26" i="56" s="1"/>
  <c r="R26" i="56"/>
  <c r="Q26" i="56"/>
  <c r="P26" i="56"/>
  <c r="N26" i="56"/>
  <c r="O26" i="56" s="1"/>
  <c r="M26" i="56"/>
  <c r="L26" i="56"/>
  <c r="K26" i="56"/>
  <c r="H25" i="56"/>
  <c r="U24" i="56"/>
  <c r="T24" i="56"/>
  <c r="S23" i="56"/>
  <c r="R23" i="56"/>
  <c r="U23" i="56" s="1"/>
  <c r="Q23" i="56"/>
  <c r="O23" i="56" s="1"/>
  <c r="P23" i="56"/>
  <c r="N23" i="56"/>
  <c r="M23" i="56"/>
  <c r="L23" i="56"/>
  <c r="K23" i="56"/>
  <c r="H22" i="56"/>
  <c r="U18" i="56"/>
  <c r="T18" i="56"/>
  <c r="N18" i="56"/>
  <c r="U17" i="56"/>
  <c r="S17" i="56"/>
  <c r="R17" i="56"/>
  <c r="Q17" i="56"/>
  <c r="T17" i="56" s="1"/>
  <c r="P17" i="56"/>
  <c r="N17" i="56"/>
  <c r="M17" i="56"/>
  <c r="L17" i="56"/>
  <c r="K17" i="56"/>
  <c r="H16" i="56"/>
  <c r="T15" i="56"/>
  <c r="S14" i="56"/>
  <c r="R14" i="56"/>
  <c r="Q14" i="56"/>
  <c r="T14" i="56" s="1"/>
  <c r="P14" i="56"/>
  <c r="N14" i="56"/>
  <c r="M14" i="56"/>
  <c r="L14" i="56"/>
  <c r="K14" i="56"/>
  <c r="H13" i="56"/>
  <c r="U12" i="56"/>
  <c r="T12" i="56"/>
  <c r="N12" i="56"/>
  <c r="T11" i="56"/>
  <c r="S11" i="56"/>
  <c r="U11" i="56" s="1"/>
  <c r="R11" i="56"/>
  <c r="R153" i="56" s="1"/>
  <c r="Q11" i="56"/>
  <c r="Q153" i="56" s="1"/>
  <c r="P11" i="56"/>
  <c r="P153" i="56" s="1"/>
  <c r="N11" i="56"/>
  <c r="O11" i="56" s="1"/>
  <c r="M11" i="56"/>
  <c r="L11" i="56"/>
  <c r="K11" i="56"/>
  <c r="H10" i="56"/>
  <c r="T153" i="56" l="1"/>
  <c r="U153" i="56"/>
  <c r="G153" i="56"/>
  <c r="O17" i="56"/>
  <c r="T23" i="56"/>
  <c r="O30" i="56"/>
  <c r="O34" i="56"/>
  <c r="O41" i="56"/>
  <c r="O47" i="56"/>
  <c r="O68" i="56"/>
  <c r="O76" i="56"/>
  <c r="T111" i="56"/>
  <c r="O114" i="56"/>
  <c r="T124" i="56"/>
  <c r="T135" i="56"/>
  <c r="O14" i="56"/>
  <c r="C74" i="55" l="1"/>
  <c r="U72" i="55"/>
  <c r="T72" i="55"/>
  <c r="M72" i="55"/>
  <c r="S71" i="55"/>
  <c r="U71" i="55" s="1"/>
  <c r="R71" i="55"/>
  <c r="Q71" i="55"/>
  <c r="T71" i="55" s="1"/>
  <c r="P71" i="55"/>
  <c r="O71" i="55"/>
  <c r="N71" i="55"/>
  <c r="L71" i="55"/>
  <c r="K71" i="55"/>
  <c r="U68" i="55"/>
  <c r="T68" i="55"/>
  <c r="S67" i="55"/>
  <c r="U67" i="55" s="1"/>
  <c r="R67" i="55"/>
  <c r="Q67" i="55"/>
  <c r="T67" i="55" s="1"/>
  <c r="P67" i="55"/>
  <c r="O67" i="55"/>
  <c r="N67" i="55"/>
  <c r="L67" i="55"/>
  <c r="K67" i="55"/>
  <c r="U62" i="55"/>
  <c r="T62" i="55"/>
  <c r="S61" i="55"/>
  <c r="U61" i="55" s="1"/>
  <c r="R61" i="55"/>
  <c r="Q61" i="55"/>
  <c r="T61" i="55" s="1"/>
  <c r="P61" i="55"/>
  <c r="O61" i="55"/>
  <c r="N61" i="55"/>
  <c r="L61" i="55"/>
  <c r="K61" i="55"/>
  <c r="U59" i="55"/>
  <c r="T59" i="55"/>
  <c r="U58" i="55"/>
  <c r="T58" i="55"/>
  <c r="U57" i="55"/>
  <c r="S57" i="55"/>
  <c r="R57" i="55"/>
  <c r="Q57" i="55"/>
  <c r="T57" i="55" s="1"/>
  <c r="P57" i="55"/>
  <c r="N57" i="55"/>
  <c r="L57" i="55"/>
  <c r="K57" i="55"/>
  <c r="U55" i="55"/>
  <c r="T55" i="55"/>
  <c r="U54" i="55"/>
  <c r="S54" i="55"/>
  <c r="R54" i="55"/>
  <c r="Q54" i="55"/>
  <c r="T54" i="55" s="1"/>
  <c r="P54" i="55"/>
  <c r="N54" i="55"/>
  <c r="L54" i="55"/>
  <c r="K54" i="55"/>
  <c r="U52" i="55"/>
  <c r="T52" i="55"/>
  <c r="U51" i="55"/>
  <c r="T51" i="55"/>
  <c r="S50" i="55"/>
  <c r="U50" i="55" s="1"/>
  <c r="R50" i="55"/>
  <c r="Q50" i="55"/>
  <c r="T50" i="55" s="1"/>
  <c r="P50" i="55"/>
  <c r="O50" i="55"/>
  <c r="N50" i="55"/>
  <c r="L50" i="55"/>
  <c r="K50" i="55"/>
  <c r="U48" i="55"/>
  <c r="T48" i="55"/>
  <c r="S47" i="55"/>
  <c r="U47" i="55" s="1"/>
  <c r="R47" i="55"/>
  <c r="Q47" i="55"/>
  <c r="T47" i="55" s="1"/>
  <c r="P47" i="55"/>
  <c r="O47" i="55"/>
  <c r="N47" i="55"/>
  <c r="L47" i="55"/>
  <c r="K47" i="55"/>
  <c r="U45" i="55"/>
  <c r="T45" i="55"/>
  <c r="S44" i="55"/>
  <c r="U44" i="55" s="1"/>
  <c r="R44" i="55"/>
  <c r="Q44" i="55"/>
  <c r="T44" i="55" s="1"/>
  <c r="P44" i="55"/>
  <c r="O44" i="55"/>
  <c r="N44" i="55"/>
  <c r="L44" i="55"/>
  <c r="K44" i="55"/>
  <c r="U42" i="55"/>
  <c r="T42" i="55"/>
  <c r="U41" i="55"/>
  <c r="T41" i="55"/>
  <c r="U40" i="55"/>
  <c r="T40" i="55"/>
  <c r="S39" i="55"/>
  <c r="U39" i="55" s="1"/>
  <c r="R39" i="55"/>
  <c r="Q39" i="55"/>
  <c r="T39" i="55" s="1"/>
  <c r="P39" i="55"/>
  <c r="O39" i="55"/>
  <c r="N39" i="55"/>
  <c r="L39" i="55"/>
  <c r="K39" i="55"/>
  <c r="U36" i="55"/>
  <c r="T36" i="55"/>
  <c r="O36" i="55"/>
  <c r="Q35" i="55"/>
  <c r="P35" i="55"/>
  <c r="U33" i="55"/>
  <c r="T33" i="55"/>
  <c r="T32" i="55"/>
  <c r="S32" i="55"/>
  <c r="R32" i="55"/>
  <c r="U32" i="55" s="1"/>
  <c r="Q32" i="55"/>
  <c r="P32" i="55"/>
  <c r="N32" i="55"/>
  <c r="O32" i="55" s="1"/>
  <c r="L32" i="55"/>
  <c r="K32" i="55"/>
  <c r="U30" i="55"/>
  <c r="T30" i="55"/>
  <c r="T29" i="55"/>
  <c r="S29" i="55"/>
  <c r="R29" i="55"/>
  <c r="U29" i="55" s="1"/>
  <c r="Q29" i="55"/>
  <c r="P29" i="55"/>
  <c r="N29" i="55"/>
  <c r="O29" i="55" s="1"/>
  <c r="L29" i="55"/>
  <c r="K29" i="55"/>
  <c r="U26" i="55"/>
  <c r="T26" i="55"/>
  <c r="T25" i="55"/>
  <c r="S25" i="55"/>
  <c r="R25" i="55"/>
  <c r="U25" i="55" s="1"/>
  <c r="Q25" i="55"/>
  <c r="P25" i="55"/>
  <c r="N25" i="55"/>
  <c r="O25" i="55" s="1"/>
  <c r="L25" i="55"/>
  <c r="U23" i="55"/>
  <c r="T23" i="55"/>
  <c r="S22" i="55"/>
  <c r="U22" i="55" s="1"/>
  <c r="R22" i="55"/>
  <c r="Q22" i="55"/>
  <c r="T22" i="55" s="1"/>
  <c r="P22" i="55"/>
  <c r="O22" i="55"/>
  <c r="N22" i="55"/>
  <c r="L22" i="55"/>
  <c r="K22" i="55"/>
  <c r="U19" i="55"/>
  <c r="T19" i="55"/>
  <c r="U18" i="55"/>
  <c r="S18" i="55"/>
  <c r="R18" i="55"/>
  <c r="Q18" i="55"/>
  <c r="T18" i="55" s="1"/>
  <c r="P18" i="55"/>
  <c r="O18" i="55"/>
  <c r="N18" i="55"/>
  <c r="L18" i="55"/>
  <c r="K18" i="55"/>
  <c r="U13" i="55"/>
  <c r="T13" i="55"/>
  <c r="U12" i="55"/>
  <c r="T12" i="55"/>
  <c r="U11" i="55"/>
  <c r="S11" i="55"/>
  <c r="S74" i="55" s="1"/>
  <c r="S76" i="55" s="1"/>
  <c r="R11" i="55"/>
  <c r="R74" i="55" s="1"/>
  <c r="Q11" i="55"/>
  <c r="T11" i="55" s="1"/>
  <c r="P11" i="55"/>
  <c r="P74" i="55" s="1"/>
  <c r="P76" i="55" s="1"/>
  <c r="N11" i="55"/>
  <c r="L11" i="55"/>
  <c r="G74" i="55" s="1"/>
  <c r="K11" i="55"/>
  <c r="R76" i="55" l="1"/>
  <c r="U74" i="55"/>
  <c r="O54" i="55"/>
  <c r="O57" i="55"/>
  <c r="Q74" i="55"/>
  <c r="O11" i="55"/>
  <c r="O75" i="55" l="1"/>
  <c r="O74" i="55"/>
  <c r="Q76" i="55"/>
  <c r="T74" i="55"/>
  <c r="U69" i="52" l="1"/>
  <c r="T69" i="52"/>
  <c r="U68" i="52"/>
  <c r="T68" i="52"/>
  <c r="N68" i="52"/>
  <c r="N67" i="52" s="1"/>
  <c r="S67" i="52"/>
  <c r="R67" i="52"/>
  <c r="U67" i="52" s="1"/>
  <c r="Q67" i="52"/>
  <c r="P67" i="52"/>
  <c r="L67" i="52"/>
  <c r="K67" i="52"/>
  <c r="H66" i="52"/>
  <c r="U64" i="52"/>
  <c r="T64" i="52"/>
  <c r="U63" i="52"/>
  <c r="T63" i="52"/>
  <c r="T62" i="52"/>
  <c r="S62" i="52"/>
  <c r="R62" i="52"/>
  <c r="U62" i="52" s="1"/>
  <c r="Q62" i="52"/>
  <c r="P62" i="52"/>
  <c r="N62" i="52"/>
  <c r="O62" i="52" s="1"/>
  <c r="L62" i="52"/>
  <c r="K62" i="52"/>
  <c r="H61" i="52"/>
  <c r="U60" i="52"/>
  <c r="T60" i="52"/>
  <c r="O60" i="52"/>
  <c r="S59" i="52"/>
  <c r="R59" i="52"/>
  <c r="U59" i="52" s="1"/>
  <c r="Q59" i="52"/>
  <c r="P59" i="52"/>
  <c r="N59" i="52"/>
  <c r="L59" i="52"/>
  <c r="H58" i="52"/>
  <c r="U54" i="52"/>
  <c r="T54" i="52"/>
  <c r="O54" i="52"/>
  <c r="S53" i="52"/>
  <c r="R53" i="52"/>
  <c r="U53" i="52" s="1"/>
  <c r="Q53" i="52"/>
  <c r="P53" i="52"/>
  <c r="N53" i="52"/>
  <c r="L53" i="52"/>
  <c r="H52" i="52"/>
  <c r="U51" i="52"/>
  <c r="T51" i="52"/>
  <c r="U50" i="52"/>
  <c r="T50" i="52"/>
  <c r="U49" i="52"/>
  <c r="T49" i="52"/>
  <c r="U48" i="52"/>
  <c r="S48" i="52"/>
  <c r="R48" i="52"/>
  <c r="Q48" i="52"/>
  <c r="T48" i="52" s="1"/>
  <c r="P48" i="52"/>
  <c r="N48" i="52"/>
  <c r="L48" i="52"/>
  <c r="U46" i="52"/>
  <c r="T46" i="52"/>
  <c r="U45" i="52"/>
  <c r="T45" i="52"/>
  <c r="S44" i="52"/>
  <c r="R44" i="52"/>
  <c r="U44" i="52" s="1"/>
  <c r="Q44" i="52"/>
  <c r="O44" i="52" s="1"/>
  <c r="P44" i="52"/>
  <c r="N44" i="52"/>
  <c r="L44" i="52"/>
  <c r="K44" i="52"/>
  <c r="H43" i="52"/>
  <c r="U42" i="52"/>
  <c r="T42" i="52"/>
  <c r="N42" i="52"/>
  <c r="U41" i="52"/>
  <c r="T41" i="52"/>
  <c r="S40" i="52"/>
  <c r="R40" i="52"/>
  <c r="U40" i="52" s="1"/>
  <c r="Q40" i="52"/>
  <c r="O40" i="52" s="1"/>
  <c r="P40" i="52"/>
  <c r="N40" i="52"/>
  <c r="L40" i="52"/>
  <c r="K40" i="52"/>
  <c r="H39" i="52"/>
  <c r="U35" i="52"/>
  <c r="T35" i="52"/>
  <c r="N35" i="52"/>
  <c r="U34" i="52"/>
  <c r="T34" i="52"/>
  <c r="S33" i="52"/>
  <c r="R33" i="52"/>
  <c r="U33" i="52" s="1"/>
  <c r="Q33" i="52"/>
  <c r="O33" i="52" s="1"/>
  <c r="P33" i="52"/>
  <c r="N33" i="52"/>
  <c r="L33" i="52"/>
  <c r="K33" i="52"/>
  <c r="U32" i="52"/>
  <c r="T32" i="52"/>
  <c r="U31" i="52"/>
  <c r="T31" i="52"/>
  <c r="U30" i="52"/>
  <c r="T30" i="52"/>
  <c r="S29" i="52"/>
  <c r="R29" i="52"/>
  <c r="U29" i="52" s="1"/>
  <c r="Q29" i="52"/>
  <c r="O29" i="52" s="1"/>
  <c r="P29" i="52"/>
  <c r="N29" i="52"/>
  <c r="L29" i="52"/>
  <c r="K29" i="52"/>
  <c r="H28" i="52"/>
  <c r="U26" i="52"/>
  <c r="T26" i="52"/>
  <c r="U25" i="52"/>
  <c r="T25" i="52"/>
  <c r="U24" i="52"/>
  <c r="S24" i="52"/>
  <c r="R24" i="52"/>
  <c r="Q24" i="52"/>
  <c r="T24" i="52" s="1"/>
  <c r="P24" i="52"/>
  <c r="N24" i="52"/>
  <c r="L24" i="52"/>
  <c r="K24" i="52"/>
  <c r="H23" i="52"/>
  <c r="U22" i="52"/>
  <c r="T22" i="52"/>
  <c r="U21" i="52"/>
  <c r="T21" i="52"/>
  <c r="N21" i="52"/>
  <c r="U20" i="52"/>
  <c r="S20" i="52"/>
  <c r="R20" i="52"/>
  <c r="Q20" i="52"/>
  <c r="T20" i="52" s="1"/>
  <c r="P20" i="52"/>
  <c r="N20" i="52"/>
  <c r="L20" i="52"/>
  <c r="K20" i="52"/>
  <c r="H19" i="52"/>
  <c r="U18" i="52"/>
  <c r="T18" i="52"/>
  <c r="U17" i="52"/>
  <c r="T17" i="52"/>
  <c r="T16" i="52"/>
  <c r="S16" i="52"/>
  <c r="S71" i="52" s="1"/>
  <c r="R16" i="52"/>
  <c r="U16" i="52" s="1"/>
  <c r="Q16" i="52"/>
  <c r="P16" i="52"/>
  <c r="N16" i="52"/>
  <c r="O16" i="52" s="1"/>
  <c r="L16" i="52"/>
  <c r="K16" i="52"/>
  <c r="H15" i="52"/>
  <c r="U14" i="52"/>
  <c r="T14" i="52"/>
  <c r="N14" i="52"/>
  <c r="U13" i="52"/>
  <c r="T13" i="52"/>
  <c r="U12" i="52"/>
  <c r="T12" i="52"/>
  <c r="S11" i="52"/>
  <c r="R11" i="52"/>
  <c r="R71" i="52" s="1"/>
  <c r="Q11" i="52"/>
  <c r="Q71" i="52" s="1"/>
  <c r="T71" i="52" s="1"/>
  <c r="P11" i="52"/>
  <c r="P71" i="52" s="1"/>
  <c r="N11" i="52"/>
  <c r="L11" i="52"/>
  <c r="K11" i="52"/>
  <c r="H10" i="52"/>
  <c r="U71" i="52" l="1"/>
  <c r="O68" i="52"/>
  <c r="O11" i="52"/>
  <c r="T11" i="52"/>
  <c r="O20" i="52"/>
  <c r="T29" i="52"/>
  <c r="T33" i="52"/>
  <c r="T40" i="52"/>
  <c r="T44" i="52"/>
  <c r="O48" i="52"/>
  <c r="T53" i="52"/>
  <c r="T59" i="52"/>
  <c r="T67" i="52"/>
  <c r="O24" i="52"/>
  <c r="U11" i="52"/>
  <c r="C258" i="51"/>
  <c r="U256" i="51"/>
  <c r="T256" i="51"/>
  <c r="U255" i="51"/>
  <c r="T255" i="51"/>
  <c r="U254" i="51"/>
  <c r="T254" i="51"/>
  <c r="S254" i="51"/>
  <c r="R254" i="51"/>
  <c r="R258" i="51" s="1"/>
  <c r="Q254" i="51"/>
  <c r="O254" i="51" s="1"/>
  <c r="P254" i="51"/>
  <c r="P258" i="51" s="1"/>
  <c r="N254" i="51"/>
  <c r="U252" i="51"/>
  <c r="T252" i="51"/>
  <c r="U251" i="51"/>
  <c r="T251" i="51"/>
  <c r="U250" i="51"/>
  <c r="T250" i="51"/>
  <c r="S250" i="51"/>
  <c r="R250" i="51"/>
  <c r="Q250" i="51"/>
  <c r="O250" i="51" s="1"/>
  <c r="P250" i="51"/>
  <c r="N250" i="51"/>
  <c r="H249" i="51"/>
  <c r="U247" i="51"/>
  <c r="T247" i="51"/>
  <c r="T246" i="51"/>
  <c r="S246" i="51"/>
  <c r="U246" i="51" s="1"/>
  <c r="R246" i="51"/>
  <c r="Q246" i="51"/>
  <c r="P246" i="51"/>
  <c r="O246" i="51"/>
  <c r="N246" i="51"/>
  <c r="H245" i="51"/>
  <c r="U244" i="51"/>
  <c r="T244" i="51"/>
  <c r="M244" i="51"/>
  <c r="U243" i="51"/>
  <c r="T243" i="51"/>
  <c r="M243" i="51"/>
  <c r="S242" i="51"/>
  <c r="R242" i="51"/>
  <c r="U242" i="51" s="1"/>
  <c r="Q242" i="51"/>
  <c r="P242" i="51"/>
  <c r="N242" i="51"/>
  <c r="O242" i="51" s="1"/>
  <c r="H241" i="51"/>
  <c r="U237" i="51"/>
  <c r="T237" i="51"/>
  <c r="U236" i="51"/>
  <c r="T236" i="51"/>
  <c r="T235" i="51"/>
  <c r="S235" i="51"/>
  <c r="U235" i="51" s="1"/>
  <c r="R235" i="51"/>
  <c r="Q235" i="51"/>
  <c r="P235" i="51"/>
  <c r="O235" i="51"/>
  <c r="N235" i="51"/>
  <c r="H234" i="51"/>
  <c r="U233" i="51"/>
  <c r="T233" i="51"/>
  <c r="U232" i="51"/>
  <c r="T232" i="51"/>
  <c r="U231" i="51"/>
  <c r="T231" i="51"/>
  <c r="S231" i="51"/>
  <c r="R231" i="51"/>
  <c r="Q231" i="51"/>
  <c r="O231" i="51" s="1"/>
  <c r="P231" i="51"/>
  <c r="N231" i="51"/>
  <c r="H230" i="51"/>
  <c r="U227" i="51"/>
  <c r="T227" i="51"/>
  <c r="U226" i="51"/>
  <c r="T226" i="51"/>
  <c r="M226" i="51"/>
  <c r="S225" i="51"/>
  <c r="R225" i="51"/>
  <c r="U225" i="51" s="1"/>
  <c r="Q225" i="51"/>
  <c r="P225" i="51"/>
  <c r="N225" i="51"/>
  <c r="O225" i="51" s="1"/>
  <c r="H224" i="51"/>
  <c r="U223" i="51"/>
  <c r="T223" i="51"/>
  <c r="U222" i="51"/>
  <c r="T222" i="51"/>
  <c r="U221" i="51"/>
  <c r="T221" i="51"/>
  <c r="U220" i="51"/>
  <c r="S220" i="51"/>
  <c r="R220" i="51"/>
  <c r="Q220" i="51"/>
  <c r="T220" i="51" s="1"/>
  <c r="P220" i="51"/>
  <c r="N220" i="51"/>
  <c r="H219" i="51"/>
  <c r="U218" i="51"/>
  <c r="T218" i="51"/>
  <c r="M218" i="51"/>
  <c r="U217" i="51"/>
  <c r="T217" i="51"/>
  <c r="T216" i="51"/>
  <c r="S216" i="51"/>
  <c r="U216" i="51" s="1"/>
  <c r="R216" i="51"/>
  <c r="Q216" i="51"/>
  <c r="P216" i="51"/>
  <c r="O216" i="51"/>
  <c r="N216" i="51"/>
  <c r="U215" i="51"/>
  <c r="T215" i="51"/>
  <c r="U214" i="51"/>
  <c r="T214" i="51"/>
  <c r="U213" i="51"/>
  <c r="T213" i="51"/>
  <c r="M213" i="51"/>
  <c r="S212" i="51"/>
  <c r="R212" i="51"/>
  <c r="U212" i="51" s="1"/>
  <c r="Q212" i="51"/>
  <c r="P212" i="51"/>
  <c r="N212" i="51"/>
  <c r="O212" i="51" s="1"/>
  <c r="H211" i="51"/>
  <c r="U210" i="51"/>
  <c r="T210" i="51"/>
  <c r="U209" i="51"/>
  <c r="T209" i="51"/>
  <c r="U208" i="51"/>
  <c r="T208" i="51"/>
  <c r="S208" i="51"/>
  <c r="R208" i="51"/>
  <c r="Q208" i="51"/>
  <c r="P208" i="51"/>
  <c r="O208" i="51"/>
  <c r="N208" i="51"/>
  <c r="U207" i="51"/>
  <c r="T207" i="51"/>
  <c r="U206" i="51"/>
  <c r="T206" i="51"/>
  <c r="M206" i="51"/>
  <c r="U205" i="51"/>
  <c r="T205" i="51"/>
  <c r="S205" i="51"/>
  <c r="R205" i="51"/>
  <c r="Q205" i="51"/>
  <c r="O205" i="51" s="1"/>
  <c r="P205" i="51"/>
  <c r="N205" i="51"/>
  <c r="H204" i="51"/>
  <c r="U203" i="51"/>
  <c r="T203" i="51"/>
  <c r="U202" i="51"/>
  <c r="T202" i="51"/>
  <c r="U201" i="51"/>
  <c r="S201" i="51"/>
  <c r="R201" i="51"/>
  <c r="Q201" i="51"/>
  <c r="T201" i="51" s="1"/>
  <c r="P201" i="51"/>
  <c r="N201" i="51"/>
  <c r="H200" i="51"/>
  <c r="U198" i="51"/>
  <c r="T198" i="51"/>
  <c r="U197" i="51"/>
  <c r="T197" i="51"/>
  <c r="S196" i="51"/>
  <c r="R196" i="51"/>
  <c r="U196" i="51" s="1"/>
  <c r="Q196" i="51"/>
  <c r="P196" i="51"/>
  <c r="N196" i="51"/>
  <c r="O196" i="51" s="1"/>
  <c r="H195" i="51"/>
  <c r="U193" i="51"/>
  <c r="T193" i="51"/>
  <c r="U192" i="51"/>
  <c r="T192" i="51"/>
  <c r="T191" i="51"/>
  <c r="S191" i="51"/>
  <c r="U191" i="51" s="1"/>
  <c r="R191" i="51"/>
  <c r="Q191" i="51"/>
  <c r="P191" i="51"/>
  <c r="O191" i="51"/>
  <c r="N191" i="51"/>
  <c r="U188" i="51"/>
  <c r="T188" i="51"/>
  <c r="U187" i="51"/>
  <c r="S187" i="51"/>
  <c r="R187" i="51"/>
  <c r="Q187" i="51"/>
  <c r="T187" i="51" s="1"/>
  <c r="P187" i="51"/>
  <c r="U184" i="51"/>
  <c r="T184" i="51"/>
  <c r="U183" i="51"/>
  <c r="T183" i="51"/>
  <c r="U182" i="51"/>
  <c r="T182" i="51"/>
  <c r="S182" i="51"/>
  <c r="R182" i="51"/>
  <c r="Q182" i="51"/>
  <c r="O182" i="51" s="1"/>
  <c r="P182" i="51"/>
  <c r="N182" i="51"/>
  <c r="H181" i="51"/>
  <c r="U180" i="51"/>
  <c r="T180" i="51"/>
  <c r="U179" i="51"/>
  <c r="T179" i="51"/>
  <c r="M179" i="51"/>
  <c r="S178" i="51"/>
  <c r="R178" i="51"/>
  <c r="U178" i="51" s="1"/>
  <c r="Q178" i="51"/>
  <c r="P178" i="51"/>
  <c r="N178" i="51"/>
  <c r="O178" i="51" s="1"/>
  <c r="H177" i="51"/>
  <c r="U176" i="51"/>
  <c r="T176" i="51"/>
  <c r="U175" i="51"/>
  <c r="T175" i="51"/>
  <c r="M175" i="51"/>
  <c r="U174" i="51"/>
  <c r="T174" i="51"/>
  <c r="S174" i="51"/>
  <c r="R174" i="51"/>
  <c r="Q174" i="51"/>
  <c r="O174" i="51" s="1"/>
  <c r="P174" i="51"/>
  <c r="N174" i="51"/>
  <c r="H173" i="51"/>
  <c r="U171" i="51"/>
  <c r="T171" i="51"/>
  <c r="U170" i="51"/>
  <c r="T170" i="51"/>
  <c r="U169" i="51"/>
  <c r="S169" i="51"/>
  <c r="R169" i="51"/>
  <c r="Q169" i="51"/>
  <c r="T169" i="51" s="1"/>
  <c r="P169" i="51"/>
  <c r="N169" i="51"/>
  <c r="U166" i="51"/>
  <c r="T166" i="51"/>
  <c r="U165" i="51"/>
  <c r="T165" i="51"/>
  <c r="U164" i="51"/>
  <c r="S164" i="51"/>
  <c r="R164" i="51"/>
  <c r="Q164" i="51"/>
  <c r="T164" i="51" s="1"/>
  <c r="P164" i="51"/>
  <c r="N164" i="51"/>
  <c r="H163" i="51"/>
  <c r="U162" i="51"/>
  <c r="T162" i="51"/>
  <c r="U161" i="51"/>
  <c r="T161" i="51"/>
  <c r="U160" i="51"/>
  <c r="T160" i="51"/>
  <c r="M160" i="51"/>
  <c r="U159" i="51"/>
  <c r="S159" i="51"/>
  <c r="R159" i="51"/>
  <c r="Q159" i="51"/>
  <c r="T159" i="51" s="1"/>
  <c r="P159" i="51"/>
  <c r="N159" i="51"/>
  <c r="H158" i="51"/>
  <c r="U157" i="51"/>
  <c r="T157" i="51"/>
  <c r="U156" i="51"/>
  <c r="T156" i="51"/>
  <c r="S156" i="51"/>
  <c r="R156" i="51"/>
  <c r="Q156" i="51"/>
  <c r="O156" i="51" s="1"/>
  <c r="P156" i="51"/>
  <c r="N156" i="51"/>
  <c r="H155" i="51"/>
  <c r="U153" i="51"/>
  <c r="T153" i="51"/>
  <c r="U152" i="51"/>
  <c r="T152" i="51"/>
  <c r="U151" i="51"/>
  <c r="S151" i="51"/>
  <c r="R151" i="51"/>
  <c r="Q151" i="51"/>
  <c r="T151" i="51" s="1"/>
  <c r="P151" i="51"/>
  <c r="N151" i="51"/>
  <c r="H150" i="51"/>
  <c r="U149" i="51"/>
  <c r="T149" i="51"/>
  <c r="M149" i="51"/>
  <c r="U148" i="51"/>
  <c r="S148" i="51"/>
  <c r="R148" i="51"/>
  <c r="Q148" i="51"/>
  <c r="T148" i="51" s="1"/>
  <c r="P148" i="51"/>
  <c r="N148" i="51"/>
  <c r="U147" i="51"/>
  <c r="T147" i="51"/>
  <c r="U146" i="51"/>
  <c r="T146" i="51"/>
  <c r="U145" i="51"/>
  <c r="S145" i="51"/>
  <c r="R145" i="51"/>
  <c r="Q145" i="51"/>
  <c r="T145" i="51" s="1"/>
  <c r="P145" i="51"/>
  <c r="N145" i="51"/>
  <c r="H144" i="51"/>
  <c r="U142" i="51"/>
  <c r="T142" i="51"/>
  <c r="U141" i="51"/>
  <c r="T141" i="51"/>
  <c r="S141" i="51"/>
  <c r="R141" i="51"/>
  <c r="Q141" i="51"/>
  <c r="O141" i="51" s="1"/>
  <c r="P141" i="51"/>
  <c r="N141" i="51"/>
  <c r="U140" i="51"/>
  <c r="T140" i="51"/>
  <c r="S139" i="51"/>
  <c r="R139" i="51"/>
  <c r="U139" i="51" s="1"/>
  <c r="Q139" i="51"/>
  <c r="P139" i="51"/>
  <c r="O139" i="51"/>
  <c r="H138" i="51"/>
  <c r="U137" i="51"/>
  <c r="T137" i="51"/>
  <c r="U136" i="51"/>
  <c r="S136" i="51"/>
  <c r="R136" i="51"/>
  <c r="Q136" i="51"/>
  <c r="T136" i="51" s="1"/>
  <c r="P136" i="51"/>
  <c r="N136" i="51"/>
  <c r="L136" i="51"/>
  <c r="U134" i="51"/>
  <c r="T134" i="51"/>
  <c r="U133" i="51"/>
  <c r="T133" i="51"/>
  <c r="U132" i="51"/>
  <c r="S132" i="51"/>
  <c r="R132" i="51"/>
  <c r="Q132" i="51"/>
  <c r="T132" i="51" s="1"/>
  <c r="P132" i="51"/>
  <c r="N132" i="51"/>
  <c r="H131" i="51"/>
  <c r="U130" i="51"/>
  <c r="T130" i="51"/>
  <c r="U129" i="51"/>
  <c r="T129" i="51"/>
  <c r="S129" i="51"/>
  <c r="R129" i="51"/>
  <c r="Q129" i="51"/>
  <c r="O129" i="51" s="1"/>
  <c r="P129" i="51"/>
  <c r="N129" i="51"/>
  <c r="H128" i="51"/>
  <c r="U127" i="51"/>
  <c r="T127" i="51"/>
  <c r="U126" i="51"/>
  <c r="T126" i="51"/>
  <c r="S126" i="51"/>
  <c r="R126" i="51"/>
  <c r="Q126" i="51"/>
  <c r="P126" i="51"/>
  <c r="O126" i="51"/>
  <c r="N126" i="51"/>
  <c r="U125" i="51"/>
  <c r="T125" i="51"/>
  <c r="H125" i="51"/>
  <c r="U124" i="51"/>
  <c r="T124" i="51"/>
  <c r="M124" i="51"/>
  <c r="H124" i="51"/>
  <c r="U123" i="51"/>
  <c r="T123" i="51"/>
  <c r="M123" i="51"/>
  <c r="H123" i="51"/>
  <c r="U122" i="51"/>
  <c r="T122" i="51"/>
  <c r="H122" i="51"/>
  <c r="S121" i="51"/>
  <c r="R121" i="51"/>
  <c r="U121" i="51" s="1"/>
  <c r="Q121" i="51"/>
  <c r="P121" i="51"/>
  <c r="N121" i="51"/>
  <c r="O122" i="51" s="1"/>
  <c r="H120" i="51"/>
  <c r="U118" i="51"/>
  <c r="T118" i="51"/>
  <c r="U117" i="51"/>
  <c r="T117" i="51"/>
  <c r="S116" i="51"/>
  <c r="R116" i="51"/>
  <c r="U116" i="51" s="1"/>
  <c r="Q116" i="51"/>
  <c r="P116" i="51"/>
  <c r="N116" i="51"/>
  <c r="O116" i="51" s="1"/>
  <c r="H115" i="51"/>
  <c r="U114" i="51"/>
  <c r="T114" i="51"/>
  <c r="U113" i="51"/>
  <c r="T113" i="51"/>
  <c r="T112" i="51"/>
  <c r="S112" i="51"/>
  <c r="U112" i="51" s="1"/>
  <c r="R112" i="51"/>
  <c r="Q112" i="51"/>
  <c r="P112" i="51"/>
  <c r="O112" i="51"/>
  <c r="N112" i="51"/>
  <c r="H111" i="51"/>
  <c r="U110" i="51"/>
  <c r="T110" i="51"/>
  <c r="M110" i="51"/>
  <c r="U109" i="51"/>
  <c r="T109" i="51"/>
  <c r="M109" i="51"/>
  <c r="S108" i="51"/>
  <c r="R108" i="51"/>
  <c r="U108" i="51" s="1"/>
  <c r="Q108" i="51"/>
  <c r="P108" i="51"/>
  <c r="N108" i="51"/>
  <c r="O108" i="51" s="1"/>
  <c r="H107" i="51"/>
  <c r="U105" i="51"/>
  <c r="T105" i="51"/>
  <c r="U104" i="51"/>
  <c r="T104" i="51"/>
  <c r="T103" i="51"/>
  <c r="S103" i="51"/>
  <c r="U103" i="51" s="1"/>
  <c r="R103" i="51"/>
  <c r="Q103" i="51"/>
  <c r="P103" i="51"/>
  <c r="O103" i="51"/>
  <c r="N103" i="51"/>
  <c r="H102" i="51"/>
  <c r="U101" i="51"/>
  <c r="T101" i="51"/>
  <c r="M101" i="51"/>
  <c r="U100" i="51"/>
  <c r="T100" i="51"/>
  <c r="U99" i="51"/>
  <c r="S99" i="51"/>
  <c r="R99" i="51"/>
  <c r="Q99" i="51"/>
  <c r="T99" i="51" s="1"/>
  <c r="P99" i="51"/>
  <c r="N99" i="51"/>
  <c r="H98" i="51"/>
  <c r="U96" i="51"/>
  <c r="T96" i="51"/>
  <c r="U95" i="51"/>
  <c r="T95" i="51"/>
  <c r="S95" i="51"/>
  <c r="R95" i="51"/>
  <c r="Q95" i="51"/>
  <c r="O95" i="51" s="1"/>
  <c r="P95" i="51"/>
  <c r="N95" i="51"/>
  <c r="H94" i="51"/>
  <c r="U93" i="51"/>
  <c r="T93" i="51"/>
  <c r="U92" i="51"/>
  <c r="T92" i="51"/>
  <c r="U91" i="51"/>
  <c r="S91" i="51"/>
  <c r="R91" i="51"/>
  <c r="Q91" i="51"/>
  <c r="T91" i="51" s="1"/>
  <c r="P91" i="51"/>
  <c r="N91" i="51"/>
  <c r="H90" i="51"/>
  <c r="U89" i="51"/>
  <c r="T89" i="51"/>
  <c r="M89" i="51"/>
  <c r="U88" i="51"/>
  <c r="T88" i="51"/>
  <c r="U87" i="51"/>
  <c r="T87" i="51"/>
  <c r="H87" i="51"/>
  <c r="H85" i="51" s="1"/>
  <c r="S86" i="51"/>
  <c r="R86" i="51"/>
  <c r="U86" i="51" s="1"/>
  <c r="Q86" i="51"/>
  <c r="P86" i="51"/>
  <c r="N86" i="51"/>
  <c r="O86" i="51" s="1"/>
  <c r="Q85" i="51"/>
  <c r="U84" i="51"/>
  <c r="T84" i="51"/>
  <c r="U83" i="51"/>
  <c r="T83" i="51"/>
  <c r="U82" i="51"/>
  <c r="T82" i="51"/>
  <c r="S82" i="51"/>
  <c r="R82" i="51"/>
  <c r="Q82" i="51"/>
  <c r="O82" i="51" s="1"/>
  <c r="P82" i="51"/>
  <c r="N82" i="51"/>
  <c r="L82" i="51"/>
  <c r="H81" i="51"/>
  <c r="U80" i="51"/>
  <c r="T80" i="51"/>
  <c r="U79" i="51"/>
  <c r="T79" i="51"/>
  <c r="S79" i="51"/>
  <c r="R79" i="51"/>
  <c r="Q79" i="51"/>
  <c r="O79" i="51" s="1"/>
  <c r="P79" i="51"/>
  <c r="N79" i="51"/>
  <c r="H78" i="51"/>
  <c r="U75" i="51"/>
  <c r="T75" i="51"/>
  <c r="U74" i="51"/>
  <c r="T74" i="51"/>
  <c r="T73" i="51" s="1"/>
  <c r="U73" i="51"/>
  <c r="S73" i="51"/>
  <c r="R73" i="51"/>
  <c r="Q73" i="51"/>
  <c r="O73" i="51" s="1"/>
  <c r="P73" i="51"/>
  <c r="N73" i="51"/>
  <c r="L73" i="51"/>
  <c r="U71" i="51"/>
  <c r="T71" i="51"/>
  <c r="H71" i="51"/>
  <c r="U70" i="51"/>
  <c r="S70" i="51"/>
  <c r="R70" i="51"/>
  <c r="Q70" i="51"/>
  <c r="T70" i="51" s="1"/>
  <c r="P70" i="51"/>
  <c r="N70" i="51"/>
  <c r="H69" i="51"/>
  <c r="U68" i="51"/>
  <c r="T68" i="51"/>
  <c r="U67" i="51"/>
  <c r="T67" i="51"/>
  <c r="S67" i="51"/>
  <c r="R67" i="51"/>
  <c r="Q67" i="51"/>
  <c r="O67" i="51" s="1"/>
  <c r="P67" i="51"/>
  <c r="N67" i="51"/>
  <c r="H66" i="51"/>
  <c r="U65" i="51"/>
  <c r="T65" i="51"/>
  <c r="U64" i="51"/>
  <c r="T64" i="51"/>
  <c r="U63" i="51"/>
  <c r="S63" i="51"/>
  <c r="R63" i="51"/>
  <c r="Q63" i="51"/>
  <c r="T63" i="51" s="1"/>
  <c r="P63" i="51"/>
  <c r="N63" i="51"/>
  <c r="H62" i="51"/>
  <c r="U61" i="51"/>
  <c r="T61" i="51"/>
  <c r="U60" i="51"/>
  <c r="T60" i="51"/>
  <c r="S60" i="51"/>
  <c r="R60" i="51"/>
  <c r="Q60" i="51"/>
  <c r="O60" i="51" s="1"/>
  <c r="P60" i="51"/>
  <c r="N60" i="51"/>
  <c r="H59" i="51"/>
  <c r="U58" i="51"/>
  <c r="T58" i="51"/>
  <c r="U57" i="51"/>
  <c r="T57" i="51"/>
  <c r="S57" i="51"/>
  <c r="R57" i="51"/>
  <c r="Q57" i="51"/>
  <c r="O58" i="51" s="1"/>
  <c r="P57" i="51"/>
  <c r="N57" i="51"/>
  <c r="H56" i="51"/>
  <c r="U55" i="51"/>
  <c r="T55" i="51"/>
  <c r="U54" i="51"/>
  <c r="T54" i="51"/>
  <c r="U53" i="51"/>
  <c r="T53" i="51"/>
  <c r="S53" i="51"/>
  <c r="R53" i="51"/>
  <c r="Q53" i="51"/>
  <c r="O53" i="51" s="1"/>
  <c r="P53" i="51"/>
  <c r="N53" i="51"/>
  <c r="H52" i="51"/>
  <c r="U51" i="51"/>
  <c r="T51" i="51"/>
  <c r="U50" i="51"/>
  <c r="T50" i="51"/>
  <c r="M50" i="51"/>
  <c r="S49" i="51"/>
  <c r="R49" i="51"/>
  <c r="U49" i="51" s="1"/>
  <c r="Q49" i="51"/>
  <c r="P49" i="51"/>
  <c r="N49" i="51"/>
  <c r="O49" i="51" s="1"/>
  <c r="H48" i="51"/>
  <c r="U47" i="51"/>
  <c r="T47" i="51"/>
  <c r="U46" i="51"/>
  <c r="S46" i="51"/>
  <c r="R46" i="51"/>
  <c r="Q46" i="51"/>
  <c r="T46" i="51" s="1"/>
  <c r="P46" i="51"/>
  <c r="N46" i="51"/>
  <c r="H45" i="51"/>
  <c r="U44" i="51"/>
  <c r="T44" i="51"/>
  <c r="U43" i="51"/>
  <c r="T43" i="51"/>
  <c r="M43" i="51"/>
  <c r="T42" i="51"/>
  <c r="S42" i="51"/>
  <c r="U42" i="51" s="1"/>
  <c r="R42" i="51"/>
  <c r="Q42" i="51"/>
  <c r="P42" i="51"/>
  <c r="O42" i="51"/>
  <c r="N42" i="51"/>
  <c r="H41" i="51"/>
  <c r="U40" i="51"/>
  <c r="T40" i="51"/>
  <c r="M40" i="51"/>
  <c r="T39" i="51"/>
  <c r="S39" i="51"/>
  <c r="U39" i="51" s="1"/>
  <c r="R39" i="51"/>
  <c r="Q39" i="51"/>
  <c r="P39" i="51"/>
  <c r="O39" i="51"/>
  <c r="N39" i="51"/>
  <c r="K39" i="51"/>
  <c r="M38" i="51"/>
  <c r="H38" i="51"/>
  <c r="U37" i="51"/>
  <c r="T37" i="51"/>
  <c r="M37" i="51"/>
  <c r="U36" i="51"/>
  <c r="T36" i="51"/>
  <c r="T35" i="51"/>
  <c r="S35" i="51"/>
  <c r="U35" i="51" s="1"/>
  <c r="R35" i="51"/>
  <c r="Q35" i="51"/>
  <c r="P35" i="51"/>
  <c r="O35" i="51"/>
  <c r="N35" i="51"/>
  <c r="H34" i="51"/>
  <c r="U33" i="51"/>
  <c r="T33" i="51"/>
  <c r="U32" i="51"/>
  <c r="T32" i="51"/>
  <c r="H32" i="51"/>
  <c r="H30" i="51" s="1"/>
  <c r="U31" i="51"/>
  <c r="S31" i="51"/>
  <c r="R31" i="51"/>
  <c r="Q31" i="51"/>
  <c r="T31" i="51" s="1"/>
  <c r="P31" i="51"/>
  <c r="N31" i="51"/>
  <c r="K31" i="51"/>
  <c r="B31" i="51"/>
  <c r="U29" i="51"/>
  <c r="T29" i="51"/>
  <c r="U28" i="51"/>
  <c r="T28" i="51"/>
  <c r="U27" i="51"/>
  <c r="T27" i="51"/>
  <c r="S27" i="51"/>
  <c r="R27" i="51"/>
  <c r="Q27" i="51"/>
  <c r="O27" i="51" s="1"/>
  <c r="P27" i="51"/>
  <c r="N27" i="51"/>
  <c r="H26" i="51"/>
  <c r="U25" i="51"/>
  <c r="T25" i="51"/>
  <c r="U24" i="51"/>
  <c r="T24" i="51"/>
  <c r="U23" i="51"/>
  <c r="S23" i="51"/>
  <c r="R23" i="51"/>
  <c r="Q23" i="51"/>
  <c r="T23" i="51" s="1"/>
  <c r="P23" i="51"/>
  <c r="N23" i="51"/>
  <c r="H22" i="51"/>
  <c r="U20" i="51"/>
  <c r="T20" i="51"/>
  <c r="U19" i="51"/>
  <c r="T19" i="51"/>
  <c r="S18" i="51"/>
  <c r="R18" i="51"/>
  <c r="U18" i="51" s="1"/>
  <c r="Q18" i="51"/>
  <c r="P18" i="51"/>
  <c r="N18" i="51"/>
  <c r="O18" i="51" s="1"/>
  <c r="H17" i="51"/>
  <c r="U13" i="51"/>
  <c r="T13" i="51"/>
  <c r="M13" i="51"/>
  <c r="U12" i="51"/>
  <c r="T12" i="51"/>
  <c r="U11" i="51"/>
  <c r="T11" i="51"/>
  <c r="S11" i="51"/>
  <c r="R11" i="51"/>
  <c r="Q11" i="51"/>
  <c r="O11" i="51" s="1"/>
  <c r="P11" i="51"/>
  <c r="N11" i="51"/>
  <c r="H10" i="51"/>
  <c r="O72" i="52" l="1"/>
  <c r="O71" i="52"/>
  <c r="S258" i="51"/>
  <c r="T18" i="51"/>
  <c r="O23" i="51"/>
  <c r="O259" i="51" s="1"/>
  <c r="O63" i="51"/>
  <c r="O70" i="51"/>
  <c r="T86" i="51"/>
  <c r="T116" i="51"/>
  <c r="T121" i="51"/>
  <c r="O132" i="51"/>
  <c r="T139" i="51"/>
  <c r="O145" i="51"/>
  <c r="O148" i="51"/>
  <c r="O151" i="51"/>
  <c r="O159" i="51"/>
  <c r="O164" i="51"/>
  <c r="O169" i="51"/>
  <c r="T178" i="51"/>
  <c r="O187" i="51"/>
  <c r="T196" i="51"/>
  <c r="O201" i="51"/>
  <c r="T212" i="51"/>
  <c r="O220" i="51"/>
  <c r="T225" i="51"/>
  <c r="T242" i="51"/>
  <c r="Q258" i="51"/>
  <c r="O137" i="51"/>
  <c r="O31" i="51"/>
  <c r="O46" i="51"/>
  <c r="T49" i="51"/>
  <c r="O91" i="51"/>
  <c r="O99" i="51"/>
  <c r="T108" i="51"/>
  <c r="U258" i="51" l="1"/>
  <c r="G258" i="51"/>
  <c r="O258" i="51"/>
  <c r="T258" i="51"/>
  <c r="U60" i="61" l="1"/>
  <c r="T60" i="61"/>
  <c r="U59" i="61"/>
  <c r="T59" i="61"/>
  <c r="S58" i="61"/>
  <c r="S62" i="61" s="1"/>
  <c r="R58" i="61"/>
  <c r="R62" i="61" s="1"/>
  <c r="Q58" i="61"/>
  <c r="Q62" i="61" s="1"/>
  <c r="P58" i="61"/>
  <c r="P62" i="61" s="1"/>
  <c r="O58" i="61"/>
  <c r="N58" i="61"/>
  <c r="L58" i="61"/>
  <c r="K58" i="61"/>
  <c r="H58" i="61"/>
  <c r="U54" i="61"/>
  <c r="T54" i="61"/>
  <c r="T53" i="61"/>
  <c r="S52" i="61"/>
  <c r="R52" i="61"/>
  <c r="U52" i="61" s="1"/>
  <c r="Q52" i="61"/>
  <c r="P52" i="61"/>
  <c r="O52" i="61"/>
  <c r="N52" i="61"/>
  <c r="L52" i="61"/>
  <c r="H52" i="61"/>
  <c r="U50" i="61"/>
  <c r="T50" i="61"/>
  <c r="U49" i="61"/>
  <c r="T49" i="61"/>
  <c r="S48" i="61"/>
  <c r="U48" i="61" s="1"/>
  <c r="R48" i="61"/>
  <c r="T48" i="61" s="1"/>
  <c r="Q48" i="61"/>
  <c r="P48" i="61"/>
  <c r="O48" i="61"/>
  <c r="N48" i="61"/>
  <c r="L48" i="61"/>
  <c r="K48" i="61"/>
  <c r="H48" i="61"/>
  <c r="U46" i="61"/>
  <c r="T46" i="61"/>
  <c r="U45" i="61"/>
  <c r="T45" i="61"/>
  <c r="U44" i="61"/>
  <c r="S44" i="61"/>
  <c r="R44" i="61"/>
  <c r="T44" i="61" s="1"/>
  <c r="Q44" i="61"/>
  <c r="P44" i="61"/>
  <c r="O44" i="61"/>
  <c r="N44" i="61"/>
  <c r="L44" i="61"/>
  <c r="H44" i="61"/>
  <c r="U42" i="61"/>
  <c r="T42" i="61"/>
  <c r="U41" i="61"/>
  <c r="S41" i="61"/>
  <c r="R41" i="61"/>
  <c r="T41" i="61" s="1"/>
  <c r="Q41" i="61"/>
  <c r="P41" i="61"/>
  <c r="O41" i="61"/>
  <c r="N41" i="61"/>
  <c r="L41" i="61"/>
  <c r="H41" i="61"/>
  <c r="U39" i="61"/>
  <c r="T39" i="61"/>
  <c r="U38" i="61"/>
  <c r="S38" i="61"/>
  <c r="R38" i="61"/>
  <c r="T38" i="61" s="1"/>
  <c r="Q38" i="61"/>
  <c r="P38" i="61"/>
  <c r="O38" i="61"/>
  <c r="N38" i="61"/>
  <c r="L38" i="61"/>
  <c r="K38" i="61"/>
  <c r="H38" i="61"/>
  <c r="T36" i="61"/>
  <c r="T35" i="61"/>
  <c r="S34" i="61"/>
  <c r="U34" i="61" s="1"/>
  <c r="R34" i="61"/>
  <c r="T34" i="61" s="1"/>
  <c r="Q34" i="61"/>
  <c r="P34" i="61"/>
  <c r="O34" i="61"/>
  <c r="N34" i="61"/>
  <c r="K34" i="61"/>
  <c r="H34" i="61"/>
  <c r="U32" i="61"/>
  <c r="T32" i="61"/>
  <c r="S31" i="61"/>
  <c r="U31" i="61" s="1"/>
  <c r="R31" i="61"/>
  <c r="T31" i="61" s="1"/>
  <c r="Q31" i="61"/>
  <c r="P31" i="61"/>
  <c r="O31" i="61"/>
  <c r="N31" i="61"/>
  <c r="L31" i="61"/>
  <c r="K31" i="61"/>
  <c r="H31" i="61"/>
  <c r="T29" i="61"/>
  <c r="T28" i="61"/>
  <c r="S27" i="61"/>
  <c r="R27" i="61"/>
  <c r="T27" i="61" s="1"/>
  <c r="Q27" i="61"/>
  <c r="P27" i="61"/>
  <c r="O27" i="61"/>
  <c r="N27" i="61"/>
  <c r="L27" i="61"/>
  <c r="K27" i="61"/>
  <c r="T25" i="61"/>
  <c r="T24" i="61"/>
  <c r="S24" i="61"/>
  <c r="R24" i="61"/>
  <c r="Q24" i="61"/>
  <c r="P24" i="61"/>
  <c r="O24" i="61"/>
  <c r="N24" i="61"/>
  <c r="L24" i="61"/>
  <c r="H24" i="61"/>
  <c r="T22" i="61"/>
  <c r="S21" i="61"/>
  <c r="R21" i="61"/>
  <c r="T21" i="61" s="1"/>
  <c r="Q21" i="61"/>
  <c r="P21" i="61"/>
  <c r="O21" i="61"/>
  <c r="N21" i="61"/>
  <c r="L21" i="61"/>
  <c r="K21" i="61"/>
  <c r="H21" i="61"/>
  <c r="U19" i="61"/>
  <c r="T19" i="61"/>
  <c r="U18" i="61"/>
  <c r="T18" i="61"/>
  <c r="U17" i="61"/>
  <c r="S17" i="61"/>
  <c r="R17" i="61"/>
  <c r="T17" i="61" s="1"/>
  <c r="Q17" i="61"/>
  <c r="P17" i="61"/>
  <c r="O17" i="61"/>
  <c r="N17" i="61"/>
  <c r="L17" i="61"/>
  <c r="K17" i="61"/>
  <c r="H17" i="61"/>
  <c r="U13" i="61"/>
  <c r="T13" i="61"/>
  <c r="U12" i="61"/>
  <c r="T12" i="61"/>
  <c r="T11" i="61"/>
  <c r="S11" i="61"/>
  <c r="R11" i="61"/>
  <c r="U11" i="61" s="1"/>
  <c r="Q11" i="61"/>
  <c r="P11" i="61"/>
  <c r="O11" i="61"/>
  <c r="O62" i="61" s="1"/>
  <c r="N11" i="61"/>
  <c r="L11" i="61"/>
  <c r="K11" i="61"/>
  <c r="H11" i="61"/>
  <c r="C17" i="60"/>
  <c r="U15" i="60"/>
  <c r="T15" i="60"/>
  <c r="U14" i="60"/>
  <c r="T14" i="60"/>
  <c r="U13" i="60"/>
  <c r="T13" i="60"/>
  <c r="U12" i="60"/>
  <c r="T12" i="60"/>
  <c r="S11" i="60"/>
  <c r="S17" i="60" s="1"/>
  <c r="R11" i="60"/>
  <c r="R17" i="60" s="1"/>
  <c r="Q11" i="60"/>
  <c r="Q17" i="60" s="1"/>
  <c r="T17" i="60" s="1"/>
  <c r="P11" i="60"/>
  <c r="P17" i="60" s="1"/>
  <c r="N11" i="60"/>
  <c r="O11" i="60" s="1"/>
  <c r="L11" i="60"/>
  <c r="H11" i="60"/>
  <c r="T58" i="61" l="1"/>
  <c r="U58" i="61"/>
  <c r="T52" i="61"/>
  <c r="U17" i="60"/>
  <c r="O18" i="60"/>
  <c r="G17" i="60"/>
  <c r="O17" i="60"/>
  <c r="T11" i="60"/>
  <c r="U11" i="60"/>
  <c r="C50" i="59" l="1"/>
  <c r="U48" i="59"/>
  <c r="T48" i="59"/>
  <c r="U47" i="59"/>
  <c r="T47" i="59"/>
  <c r="S47" i="59"/>
  <c r="R47" i="59"/>
  <c r="R50" i="59" s="1"/>
  <c r="Q47" i="59"/>
  <c r="O47" i="59" s="1"/>
  <c r="P47" i="59"/>
  <c r="P50" i="59" s="1"/>
  <c r="N47" i="59"/>
  <c r="M47" i="59"/>
  <c r="L47" i="59"/>
  <c r="K47" i="59"/>
  <c r="H46" i="59"/>
  <c r="U45" i="59"/>
  <c r="T45" i="59"/>
  <c r="S44" i="59"/>
  <c r="R44" i="59"/>
  <c r="U44" i="59" s="1"/>
  <c r="Q44" i="59"/>
  <c r="T44" i="59" s="1"/>
  <c r="P44" i="59"/>
  <c r="M44" i="59"/>
  <c r="L44" i="59"/>
  <c r="K44" i="59"/>
  <c r="H44" i="59"/>
  <c r="U42" i="59"/>
  <c r="T42" i="59"/>
  <c r="U41" i="59"/>
  <c r="T41" i="59"/>
  <c r="U40" i="59"/>
  <c r="T40" i="59"/>
  <c r="S40" i="59"/>
  <c r="R40" i="59"/>
  <c r="Q40" i="59"/>
  <c r="O40" i="59" s="1"/>
  <c r="P40" i="59"/>
  <c r="N40" i="59"/>
  <c r="M40" i="59"/>
  <c r="L40" i="59"/>
  <c r="K40" i="59"/>
  <c r="H40" i="59"/>
  <c r="U37" i="59"/>
  <c r="T37" i="59"/>
  <c r="S36" i="59"/>
  <c r="S50" i="59" s="1"/>
  <c r="R36" i="59"/>
  <c r="U36" i="59" s="1"/>
  <c r="Q36" i="59"/>
  <c r="P36" i="59"/>
  <c r="N36" i="59"/>
  <c r="O36" i="59" s="1"/>
  <c r="M36" i="59"/>
  <c r="L36" i="59"/>
  <c r="K36" i="59"/>
  <c r="H36" i="59"/>
  <c r="U31" i="59"/>
  <c r="T31" i="59"/>
  <c r="U30" i="59"/>
  <c r="T30" i="59"/>
  <c r="S30" i="59"/>
  <c r="R30" i="59"/>
  <c r="Q30" i="59"/>
  <c r="O30" i="59" s="1"/>
  <c r="P30" i="59"/>
  <c r="M30" i="59"/>
  <c r="L30" i="59"/>
  <c r="K30" i="59"/>
  <c r="U28" i="59"/>
  <c r="T28" i="59"/>
  <c r="U27" i="59"/>
  <c r="T27" i="59"/>
  <c r="S27" i="59"/>
  <c r="R27" i="59"/>
  <c r="Q27" i="59"/>
  <c r="O27" i="59"/>
  <c r="N27" i="59"/>
  <c r="M27" i="59"/>
  <c r="L27" i="59"/>
  <c r="K27" i="59"/>
  <c r="H27" i="59"/>
  <c r="U25" i="59"/>
  <c r="T25" i="59"/>
  <c r="U24" i="59"/>
  <c r="S24" i="59"/>
  <c r="R24" i="59"/>
  <c r="Q24" i="59"/>
  <c r="T24" i="59" s="1"/>
  <c r="M24" i="59"/>
  <c r="L24" i="59"/>
  <c r="K24" i="59"/>
  <c r="H24" i="59"/>
  <c r="U22" i="59"/>
  <c r="T22" i="59"/>
  <c r="U21" i="59"/>
  <c r="Q21" i="59"/>
  <c r="T21" i="59" s="1"/>
  <c r="U20" i="59"/>
  <c r="T20" i="59"/>
  <c r="S20" i="59"/>
  <c r="R20" i="59"/>
  <c r="Q20" i="59"/>
  <c r="P20" i="59"/>
  <c r="O20" i="59"/>
  <c r="N20" i="59"/>
  <c r="L20" i="59"/>
  <c r="K20" i="59"/>
  <c r="H20" i="59"/>
  <c r="U18" i="59"/>
  <c r="T18" i="59"/>
  <c r="U17" i="59"/>
  <c r="S17" i="59"/>
  <c r="R17" i="59"/>
  <c r="Q17" i="59"/>
  <c r="T17" i="59" s="1"/>
  <c r="P17" i="59"/>
  <c r="M17" i="59"/>
  <c r="L17" i="59"/>
  <c r="K17" i="59"/>
  <c r="H17" i="59"/>
  <c r="U15" i="59"/>
  <c r="T15" i="59"/>
  <c r="H15" i="59"/>
  <c r="T14" i="59"/>
  <c r="S14" i="59"/>
  <c r="U14" i="59" s="1"/>
  <c r="R14" i="59"/>
  <c r="Q14" i="59"/>
  <c r="O14" i="59"/>
  <c r="M14" i="59"/>
  <c r="L14" i="59"/>
  <c r="K14" i="59"/>
  <c r="H13" i="59"/>
  <c r="U12" i="59"/>
  <c r="T12" i="59"/>
  <c r="T11" i="59"/>
  <c r="S11" i="59"/>
  <c r="U11" i="59" s="1"/>
  <c r="R11" i="59"/>
  <c r="Q11" i="59"/>
  <c r="P11" i="59"/>
  <c r="O11" i="59"/>
  <c r="N11" i="59"/>
  <c r="M11" i="59"/>
  <c r="L11" i="59"/>
  <c r="K11" i="59"/>
  <c r="H11" i="59"/>
  <c r="C207" i="48"/>
  <c r="U205" i="48"/>
  <c r="T205" i="48"/>
  <c r="N205" i="48"/>
  <c r="U204" i="48"/>
  <c r="T204" i="48"/>
  <c r="N204" i="48"/>
  <c r="N203" i="48" s="1"/>
  <c r="S203" i="48"/>
  <c r="R203" i="48"/>
  <c r="U203" i="48" s="1"/>
  <c r="Q203" i="48"/>
  <c r="P203" i="48"/>
  <c r="L203" i="48"/>
  <c r="K203" i="48"/>
  <c r="U201" i="48"/>
  <c r="T201" i="48"/>
  <c r="N201" i="48"/>
  <c r="N199" i="48" s="1"/>
  <c r="U200" i="48"/>
  <c r="T200" i="48"/>
  <c r="N200" i="48"/>
  <c r="S199" i="48"/>
  <c r="R199" i="48"/>
  <c r="U199" i="48" s="1"/>
  <c r="Q199" i="48"/>
  <c r="P199" i="48"/>
  <c r="L199" i="48"/>
  <c r="U196" i="48"/>
  <c r="T196" i="48"/>
  <c r="N196" i="48"/>
  <c r="S195" i="48"/>
  <c r="R195" i="48"/>
  <c r="U195" i="48" s="1"/>
  <c r="Q195" i="48"/>
  <c r="O195" i="48" s="1"/>
  <c r="P195" i="48"/>
  <c r="N195" i="48"/>
  <c r="L195" i="48"/>
  <c r="U190" i="48"/>
  <c r="T190" i="48"/>
  <c r="N190" i="48"/>
  <c r="N189" i="48" s="1"/>
  <c r="S189" i="48"/>
  <c r="R189" i="48"/>
  <c r="U189" i="48" s="1"/>
  <c r="Q189" i="48"/>
  <c r="P189" i="48"/>
  <c r="L189" i="48"/>
  <c r="K189" i="48"/>
  <c r="U185" i="48"/>
  <c r="T185" i="48"/>
  <c r="N185" i="48"/>
  <c r="N183" i="48" s="1"/>
  <c r="U184" i="48"/>
  <c r="T184" i="48"/>
  <c r="N184" i="48"/>
  <c r="S183" i="48"/>
  <c r="R183" i="48"/>
  <c r="Q183" i="48"/>
  <c r="P183" i="48"/>
  <c r="L183" i="48"/>
  <c r="K183" i="48"/>
  <c r="U181" i="48"/>
  <c r="T181" i="48"/>
  <c r="N181" i="48"/>
  <c r="N179" i="48" s="1"/>
  <c r="U180" i="48"/>
  <c r="T180" i="48"/>
  <c r="S179" i="48"/>
  <c r="U179" i="48" s="1"/>
  <c r="R179" i="48"/>
  <c r="Q179" i="48"/>
  <c r="P179" i="48"/>
  <c r="L179" i="48"/>
  <c r="K179" i="48"/>
  <c r="U176" i="48"/>
  <c r="T176" i="48"/>
  <c r="N176" i="48"/>
  <c r="N174" i="48" s="1"/>
  <c r="S174" i="48"/>
  <c r="R174" i="48"/>
  <c r="Q174" i="48"/>
  <c r="P174" i="48"/>
  <c r="L174" i="48"/>
  <c r="K174" i="48"/>
  <c r="U171" i="48"/>
  <c r="T171" i="48"/>
  <c r="N171" i="48"/>
  <c r="U170" i="48"/>
  <c r="T170" i="48"/>
  <c r="N170" i="48"/>
  <c r="N169" i="48" s="1"/>
  <c r="S169" i="48"/>
  <c r="R169" i="48"/>
  <c r="U169" i="48" s="1"/>
  <c r="Q169" i="48"/>
  <c r="O169" i="48" s="1"/>
  <c r="P169" i="48"/>
  <c r="L169" i="48"/>
  <c r="K169" i="48"/>
  <c r="U167" i="48"/>
  <c r="T167" i="48"/>
  <c r="N167" i="48"/>
  <c r="N166" i="48" s="1"/>
  <c r="S166" i="48"/>
  <c r="R166" i="48"/>
  <c r="Q166" i="48"/>
  <c r="P166" i="48"/>
  <c r="L166" i="48"/>
  <c r="K166" i="48"/>
  <c r="U164" i="48"/>
  <c r="T164" i="48"/>
  <c r="N164" i="48"/>
  <c r="U163" i="48"/>
  <c r="T163" i="48"/>
  <c r="N163" i="48"/>
  <c r="U162" i="48"/>
  <c r="T162" i="48"/>
  <c r="N162" i="48"/>
  <c r="N161" i="48" s="1"/>
  <c r="S161" i="48"/>
  <c r="R161" i="48"/>
  <c r="Q161" i="48"/>
  <c r="P161" i="48"/>
  <c r="L161" i="48"/>
  <c r="K161" i="48"/>
  <c r="U159" i="48"/>
  <c r="T159" i="48"/>
  <c r="N159" i="48"/>
  <c r="U158" i="48"/>
  <c r="T158" i="48"/>
  <c r="N158" i="48"/>
  <c r="S157" i="48"/>
  <c r="R157" i="48"/>
  <c r="U157" i="48" s="1"/>
  <c r="Q157" i="48"/>
  <c r="O157" i="48" s="1"/>
  <c r="P157" i="48"/>
  <c r="N157" i="48"/>
  <c r="L157" i="48"/>
  <c r="K157" i="48"/>
  <c r="U154" i="48"/>
  <c r="T154" i="48"/>
  <c r="N154" i="48"/>
  <c r="N153" i="48" s="1"/>
  <c r="S153" i="48"/>
  <c r="R153" i="48"/>
  <c r="Q153" i="48"/>
  <c r="O153" i="48" s="1"/>
  <c r="P153" i="48"/>
  <c r="L153" i="48"/>
  <c r="K153" i="48"/>
  <c r="U149" i="48"/>
  <c r="T149" i="48"/>
  <c r="N149" i="48"/>
  <c r="N147" i="48" s="1"/>
  <c r="U148" i="48"/>
  <c r="T148" i="48"/>
  <c r="N148" i="48"/>
  <c r="S147" i="48"/>
  <c r="R147" i="48"/>
  <c r="Q147" i="48"/>
  <c r="T147" i="48" s="1"/>
  <c r="P147" i="48"/>
  <c r="L147" i="48"/>
  <c r="K147" i="48"/>
  <c r="U144" i="48"/>
  <c r="T144" i="48"/>
  <c r="N144" i="48"/>
  <c r="U143" i="48"/>
  <c r="T143" i="48"/>
  <c r="N143" i="48"/>
  <c r="U142" i="48"/>
  <c r="T142" i="48"/>
  <c r="N142" i="48"/>
  <c r="U141" i="48"/>
  <c r="T141" i="48"/>
  <c r="N141" i="48"/>
  <c r="S140" i="48"/>
  <c r="U140" i="48" s="1"/>
  <c r="R140" i="48"/>
  <c r="Q140" i="48"/>
  <c r="P140" i="48"/>
  <c r="L140" i="48"/>
  <c r="K140" i="48"/>
  <c r="U138" i="48"/>
  <c r="T138" i="48"/>
  <c r="N138" i="48"/>
  <c r="N137" i="48" s="1"/>
  <c r="S137" i="48"/>
  <c r="R137" i="48"/>
  <c r="Q137" i="48"/>
  <c r="P137" i="48"/>
  <c r="L137" i="48"/>
  <c r="K137" i="48"/>
  <c r="U135" i="48"/>
  <c r="T135" i="48"/>
  <c r="N135" i="48"/>
  <c r="S134" i="48"/>
  <c r="U134" i="48" s="1"/>
  <c r="R134" i="48"/>
  <c r="Q134" i="48"/>
  <c r="T134" i="48" s="1"/>
  <c r="P134" i="48"/>
  <c r="N134" i="48"/>
  <c r="O134" i="48" s="1"/>
  <c r="L134" i="48"/>
  <c r="K134" i="48"/>
  <c r="U132" i="48"/>
  <c r="T132" i="48"/>
  <c r="N132" i="48"/>
  <c r="U131" i="48"/>
  <c r="T131" i="48"/>
  <c r="N131" i="48"/>
  <c r="S130" i="48"/>
  <c r="U130" i="48" s="1"/>
  <c r="R130" i="48"/>
  <c r="Q130" i="48"/>
  <c r="P130" i="48"/>
  <c r="L130" i="48"/>
  <c r="K130" i="48"/>
  <c r="U128" i="48"/>
  <c r="T128" i="48"/>
  <c r="N128" i="48"/>
  <c r="N126" i="48" s="1"/>
  <c r="O126" i="48" s="1"/>
  <c r="U127" i="48"/>
  <c r="T127" i="48"/>
  <c r="N127" i="48"/>
  <c r="S126" i="48"/>
  <c r="R126" i="48"/>
  <c r="Q126" i="48"/>
  <c r="T126" i="48" s="1"/>
  <c r="P126" i="48"/>
  <c r="L126" i="48"/>
  <c r="U123" i="48"/>
  <c r="T123" i="48"/>
  <c r="N123" i="48"/>
  <c r="U122" i="48"/>
  <c r="T122" i="48"/>
  <c r="N122" i="48"/>
  <c r="N121" i="48" s="1"/>
  <c r="S121" i="48"/>
  <c r="R121" i="48"/>
  <c r="U121" i="48" s="1"/>
  <c r="Q121" i="48"/>
  <c r="P121" i="48"/>
  <c r="L121" i="48"/>
  <c r="K121" i="48"/>
  <c r="U118" i="48"/>
  <c r="T118" i="48"/>
  <c r="N118" i="48"/>
  <c r="U117" i="48"/>
  <c r="T117" i="48"/>
  <c r="N117" i="48"/>
  <c r="U116" i="48"/>
  <c r="T116" i="48"/>
  <c r="N116" i="48"/>
  <c r="S115" i="48"/>
  <c r="U115" i="48" s="1"/>
  <c r="R115" i="48"/>
  <c r="Q115" i="48"/>
  <c r="P115" i="48"/>
  <c r="L115" i="48"/>
  <c r="K115" i="48"/>
  <c r="U112" i="48"/>
  <c r="T112" i="48"/>
  <c r="N112" i="48"/>
  <c r="N109" i="48" s="1"/>
  <c r="O109" i="48" s="1"/>
  <c r="U111" i="48"/>
  <c r="T111" i="48"/>
  <c r="N111" i="48"/>
  <c r="U110" i="48"/>
  <c r="T110" i="48"/>
  <c r="N110" i="48"/>
  <c r="T109" i="48"/>
  <c r="S109" i="48"/>
  <c r="R109" i="48"/>
  <c r="Q109" i="48"/>
  <c r="P109" i="48"/>
  <c r="L109" i="48"/>
  <c r="K109" i="48"/>
  <c r="U107" i="48"/>
  <c r="T107" i="48"/>
  <c r="N107" i="48"/>
  <c r="N106" i="48" s="1"/>
  <c r="U106" i="48"/>
  <c r="S106" i="48"/>
  <c r="R106" i="48"/>
  <c r="Q106" i="48"/>
  <c r="T106" i="48" s="1"/>
  <c r="P106" i="48"/>
  <c r="L106" i="48"/>
  <c r="K106" i="48"/>
  <c r="U104" i="48"/>
  <c r="T104" i="48"/>
  <c r="N104" i="48"/>
  <c r="U103" i="48"/>
  <c r="T103" i="48"/>
  <c r="N103" i="48"/>
  <c r="U102" i="48"/>
  <c r="T102" i="48"/>
  <c r="N102" i="48"/>
  <c r="U101" i="48"/>
  <c r="T101" i="48"/>
  <c r="N101" i="48"/>
  <c r="S100" i="48"/>
  <c r="R100" i="48"/>
  <c r="Q100" i="48"/>
  <c r="T100" i="48" s="1"/>
  <c r="P100" i="48"/>
  <c r="L100" i="48"/>
  <c r="U98" i="48"/>
  <c r="T98" i="48"/>
  <c r="N98" i="48"/>
  <c r="U97" i="48"/>
  <c r="T97" i="48"/>
  <c r="N97" i="48"/>
  <c r="N95" i="48" s="1"/>
  <c r="U96" i="48"/>
  <c r="T96" i="48"/>
  <c r="N96" i="48"/>
  <c r="S95" i="48"/>
  <c r="R95" i="48"/>
  <c r="U95" i="48" s="1"/>
  <c r="Q95" i="48"/>
  <c r="T95" i="48" s="1"/>
  <c r="P95" i="48"/>
  <c r="L95" i="48"/>
  <c r="U92" i="48"/>
  <c r="T92" i="48"/>
  <c r="N92" i="48"/>
  <c r="U91" i="48"/>
  <c r="T91" i="48"/>
  <c r="N91" i="48"/>
  <c r="N90" i="48" s="1"/>
  <c r="T90" i="48"/>
  <c r="S90" i="48"/>
  <c r="R90" i="48"/>
  <c r="U90" i="48" s="1"/>
  <c r="Q90" i="48"/>
  <c r="P90" i="48"/>
  <c r="L90" i="48"/>
  <c r="U88" i="48"/>
  <c r="T88" i="48"/>
  <c r="N88" i="48"/>
  <c r="N86" i="48" s="1"/>
  <c r="O86" i="48" s="1"/>
  <c r="U87" i="48"/>
  <c r="T87" i="48"/>
  <c r="N87" i="48"/>
  <c r="S86" i="48"/>
  <c r="R86" i="48"/>
  <c r="Q86" i="48"/>
  <c r="T86" i="48" s="1"/>
  <c r="P86" i="48"/>
  <c r="L86" i="48"/>
  <c r="K86" i="48"/>
  <c r="U84" i="48"/>
  <c r="T84" i="48"/>
  <c r="N84" i="48"/>
  <c r="U83" i="48"/>
  <c r="T83" i="48"/>
  <c r="N83" i="48"/>
  <c r="S82" i="48"/>
  <c r="U82" i="48" s="1"/>
  <c r="R82" i="48"/>
  <c r="Q82" i="48"/>
  <c r="P82" i="48"/>
  <c r="L82" i="48"/>
  <c r="K82" i="48"/>
  <c r="U80" i="48"/>
  <c r="T80" i="48"/>
  <c r="U79" i="48"/>
  <c r="T79" i="48"/>
  <c r="N79" i="48"/>
  <c r="N78" i="48" s="1"/>
  <c r="S78" i="48"/>
  <c r="R78" i="48"/>
  <c r="U78" i="48" s="1"/>
  <c r="Q78" i="48"/>
  <c r="P78" i="48"/>
  <c r="L78" i="48"/>
  <c r="K78" i="48"/>
  <c r="U73" i="48"/>
  <c r="T73" i="48"/>
  <c r="N73" i="48"/>
  <c r="S72" i="48"/>
  <c r="R72" i="48"/>
  <c r="U72" i="48" s="1"/>
  <c r="Q72" i="48"/>
  <c r="T72" i="48" s="1"/>
  <c r="P72" i="48"/>
  <c r="N72" i="48"/>
  <c r="L72" i="48"/>
  <c r="K72" i="48"/>
  <c r="U70" i="48"/>
  <c r="T70" i="48"/>
  <c r="N70" i="48"/>
  <c r="N69" i="48" s="1"/>
  <c r="T69" i="48"/>
  <c r="S69" i="48"/>
  <c r="R69" i="48"/>
  <c r="U69" i="48" s="1"/>
  <c r="Q69" i="48"/>
  <c r="P69" i="48"/>
  <c r="L69" i="48"/>
  <c r="K69" i="48"/>
  <c r="U67" i="48"/>
  <c r="T67" i="48"/>
  <c r="N67" i="48"/>
  <c r="S66" i="48"/>
  <c r="R66" i="48"/>
  <c r="U66" i="48" s="1"/>
  <c r="Q66" i="48"/>
  <c r="T66" i="48" s="1"/>
  <c r="P66" i="48"/>
  <c r="L66" i="48"/>
  <c r="K66" i="48"/>
  <c r="U64" i="48"/>
  <c r="T64" i="48"/>
  <c r="N64" i="48"/>
  <c r="S63" i="48"/>
  <c r="R63" i="48"/>
  <c r="U63" i="48" s="1"/>
  <c r="Q63" i="48"/>
  <c r="T63" i="48" s="1"/>
  <c r="P63" i="48"/>
  <c r="N63" i="48"/>
  <c r="L63" i="48"/>
  <c r="K63" i="48"/>
  <c r="U61" i="48"/>
  <c r="T61" i="48"/>
  <c r="N61" i="48"/>
  <c r="N60" i="48" s="1"/>
  <c r="O60" i="48" s="1"/>
  <c r="S60" i="48"/>
  <c r="R60" i="48"/>
  <c r="U60" i="48" s="1"/>
  <c r="Q60" i="48"/>
  <c r="P60" i="48"/>
  <c r="L60" i="48"/>
  <c r="K60" i="48"/>
  <c r="U58" i="48"/>
  <c r="T58" i="48"/>
  <c r="N58" i="48"/>
  <c r="N57" i="48" s="1"/>
  <c r="O57" i="48" s="1"/>
  <c r="U57" i="48"/>
  <c r="S57" i="48"/>
  <c r="R57" i="48"/>
  <c r="Q57" i="48"/>
  <c r="T57" i="48" s="1"/>
  <c r="P57" i="48"/>
  <c r="L57" i="48"/>
  <c r="K57" i="48"/>
  <c r="U55" i="48"/>
  <c r="T55" i="48"/>
  <c r="N55" i="48"/>
  <c r="N54" i="48" s="1"/>
  <c r="S54" i="48"/>
  <c r="R54" i="48"/>
  <c r="U54" i="48" s="1"/>
  <c r="Q54" i="48"/>
  <c r="T54" i="48" s="1"/>
  <c r="P54" i="48"/>
  <c r="L54" i="48"/>
  <c r="K54" i="48"/>
  <c r="U52" i="48"/>
  <c r="T52" i="48"/>
  <c r="N52" i="48"/>
  <c r="U51" i="48"/>
  <c r="T51" i="48"/>
  <c r="N51" i="48"/>
  <c r="U50" i="48"/>
  <c r="T50" i="48"/>
  <c r="N50" i="48"/>
  <c r="U49" i="48"/>
  <c r="T49" i="48"/>
  <c r="N49" i="48"/>
  <c r="N48" i="48" s="1"/>
  <c r="O48" i="48" s="1"/>
  <c r="S48" i="48"/>
  <c r="R48" i="48"/>
  <c r="Q48" i="48"/>
  <c r="P48" i="48"/>
  <c r="L48" i="48"/>
  <c r="K48" i="48"/>
  <c r="U43" i="48"/>
  <c r="T43" i="48"/>
  <c r="N43" i="48"/>
  <c r="U42" i="48"/>
  <c r="T42" i="48"/>
  <c r="N42" i="48"/>
  <c r="N41" i="48" s="1"/>
  <c r="O41" i="48" s="1"/>
  <c r="S41" i="48"/>
  <c r="R41" i="48"/>
  <c r="U41" i="48" s="1"/>
  <c r="Q41" i="48"/>
  <c r="P41" i="48"/>
  <c r="L41" i="48"/>
  <c r="K41" i="48"/>
  <c r="U39" i="48"/>
  <c r="T39" i="48"/>
  <c r="N39" i="48"/>
  <c r="N37" i="48" s="1"/>
  <c r="O37" i="48" s="1"/>
  <c r="U38" i="48"/>
  <c r="T38" i="48"/>
  <c r="N38" i="48"/>
  <c r="S37" i="48"/>
  <c r="R37" i="48"/>
  <c r="U37" i="48" s="1"/>
  <c r="Q37" i="48"/>
  <c r="P37" i="48"/>
  <c r="L37" i="48"/>
  <c r="K37" i="48"/>
  <c r="U35" i="48"/>
  <c r="T35" i="48"/>
  <c r="N35" i="48"/>
  <c r="U34" i="48"/>
  <c r="T34" i="48"/>
  <c r="N34" i="48"/>
  <c r="N32" i="48" s="1"/>
  <c r="U33" i="48"/>
  <c r="T33" i="48"/>
  <c r="N33" i="48"/>
  <c r="S32" i="48"/>
  <c r="R32" i="48"/>
  <c r="U32" i="48" s="1"/>
  <c r="Q32" i="48"/>
  <c r="T32" i="48" s="1"/>
  <c r="P32" i="48"/>
  <c r="L32" i="48"/>
  <c r="K32" i="48"/>
  <c r="N28" i="48"/>
  <c r="N27" i="48"/>
  <c r="S26" i="48"/>
  <c r="R26" i="48"/>
  <c r="Q26" i="48"/>
  <c r="P26" i="48"/>
  <c r="K26" i="48"/>
  <c r="U24" i="48"/>
  <c r="T24" i="48"/>
  <c r="N24" i="48"/>
  <c r="U23" i="48"/>
  <c r="T23" i="48"/>
  <c r="N23" i="48"/>
  <c r="N21" i="48" s="1"/>
  <c r="O21" i="48" s="1"/>
  <c r="U22" i="48"/>
  <c r="T22" i="48"/>
  <c r="N22" i="48"/>
  <c r="S21" i="48"/>
  <c r="U21" i="48" s="1"/>
  <c r="R21" i="48"/>
  <c r="Q21" i="48"/>
  <c r="T21" i="48" s="1"/>
  <c r="P21" i="48"/>
  <c r="L21" i="48"/>
  <c r="K21" i="48"/>
  <c r="U19" i="48"/>
  <c r="T19" i="48"/>
  <c r="N19" i="48"/>
  <c r="U18" i="48"/>
  <c r="T18" i="48"/>
  <c r="N18" i="48"/>
  <c r="U17" i="48"/>
  <c r="T17" i="48"/>
  <c r="N17" i="48"/>
  <c r="N15" i="48" s="1"/>
  <c r="U16" i="48"/>
  <c r="T16" i="48"/>
  <c r="N16" i="48"/>
  <c r="S15" i="48"/>
  <c r="R15" i="48"/>
  <c r="U15" i="48" s="1"/>
  <c r="Q15" i="48"/>
  <c r="T15" i="48" s="1"/>
  <c r="P15" i="48"/>
  <c r="L15" i="48"/>
  <c r="K15" i="48"/>
  <c r="U13" i="48"/>
  <c r="T13" i="48"/>
  <c r="N13" i="48"/>
  <c r="U12" i="48"/>
  <c r="T12" i="48"/>
  <c r="N12" i="48"/>
  <c r="S11" i="48"/>
  <c r="R11" i="48"/>
  <c r="Q11" i="48"/>
  <c r="T11" i="48" s="1"/>
  <c r="P11" i="48"/>
  <c r="M11" i="48"/>
  <c r="L11" i="48"/>
  <c r="K11" i="48"/>
  <c r="O166" i="48" l="1"/>
  <c r="O199" i="48"/>
  <c r="N82" i="48"/>
  <c r="O82" i="48" s="1"/>
  <c r="U86" i="48"/>
  <c r="U126" i="48"/>
  <c r="N130" i="48"/>
  <c r="O130" i="48" s="1"/>
  <c r="U183" i="48"/>
  <c r="C16" i="5"/>
  <c r="P207" i="48"/>
  <c r="U147" i="48"/>
  <c r="R207" i="48"/>
  <c r="O69" i="48"/>
  <c r="N115" i="48"/>
  <c r="O137" i="48"/>
  <c r="N140" i="48"/>
  <c r="O140" i="48" s="1"/>
  <c r="O174" i="48"/>
  <c r="U153" i="48"/>
  <c r="O183" i="48"/>
  <c r="S207" i="48"/>
  <c r="U48" i="48"/>
  <c r="O78" i="48"/>
  <c r="T82" i="48"/>
  <c r="O90" i="48"/>
  <c r="T115" i="48"/>
  <c r="T130" i="48"/>
  <c r="U137" i="48"/>
  <c r="T140" i="48"/>
  <c r="O161" i="48"/>
  <c r="U174" i="48"/>
  <c r="T179" i="48"/>
  <c r="O54" i="48"/>
  <c r="O189" i="48"/>
  <c r="U166" i="48"/>
  <c r="N11" i="48"/>
  <c r="U100" i="48"/>
  <c r="U11" i="48"/>
  <c r="O72" i="48"/>
  <c r="N100" i="48"/>
  <c r="O100" i="48" s="1"/>
  <c r="U109" i="48"/>
  <c r="O121" i="48"/>
  <c r="O147" i="48"/>
  <c r="T153" i="48"/>
  <c r="U161" i="48"/>
  <c r="T166" i="48"/>
  <c r="O203" i="48"/>
  <c r="O17" i="59"/>
  <c r="T36" i="59"/>
  <c r="O44" i="59"/>
  <c r="O24" i="59"/>
  <c r="Q50" i="59"/>
  <c r="T41" i="48"/>
  <c r="T78" i="48"/>
  <c r="O95" i="48"/>
  <c r="O106" i="48"/>
  <c r="O115" i="48"/>
  <c r="T121" i="48"/>
  <c r="T137" i="48"/>
  <c r="T157" i="48"/>
  <c r="T161" i="48"/>
  <c r="T169" i="48"/>
  <c r="T174" i="48"/>
  <c r="O179" i="48"/>
  <c r="T183" i="48"/>
  <c r="T189" i="48"/>
  <c r="T195" i="48"/>
  <c r="T199" i="48"/>
  <c r="T203" i="48"/>
  <c r="Q207" i="48"/>
  <c r="T207" i="48" s="1"/>
  <c r="O11" i="48"/>
  <c r="O15" i="48"/>
  <c r="O32" i="48"/>
  <c r="T37" i="48"/>
  <c r="T48" i="48"/>
  <c r="T60" i="48"/>
  <c r="O63" i="48"/>
  <c r="O66" i="48"/>
  <c r="U207" i="48" l="1"/>
  <c r="O208" i="48"/>
  <c r="G207" i="48"/>
  <c r="D16" i="5" s="1"/>
  <c r="O207" i="48"/>
  <c r="E16" i="5" s="1"/>
  <c r="C144" i="41" l="1"/>
  <c r="U142" i="41"/>
  <c r="T142" i="41"/>
  <c r="U141" i="41"/>
  <c r="T141" i="41"/>
  <c r="T140" i="41"/>
  <c r="S140" i="41"/>
  <c r="R140" i="41"/>
  <c r="U140" i="41" s="1"/>
  <c r="Q140" i="41"/>
  <c r="P140" i="41"/>
  <c r="N140" i="41"/>
  <c r="O140" i="41" s="1"/>
  <c r="M140" i="41"/>
  <c r="L140" i="41"/>
  <c r="K140" i="41"/>
  <c r="U137" i="41"/>
  <c r="T137" i="41"/>
  <c r="U136" i="41"/>
  <c r="S136" i="41"/>
  <c r="R136" i="41"/>
  <c r="Q136" i="41"/>
  <c r="T136" i="41" s="1"/>
  <c r="P136" i="41"/>
  <c r="N136" i="41"/>
  <c r="M136" i="41"/>
  <c r="L136" i="41"/>
  <c r="K136" i="41"/>
  <c r="U134" i="41"/>
  <c r="T134" i="41"/>
  <c r="S133" i="41"/>
  <c r="R133" i="41"/>
  <c r="U133" i="41" s="1"/>
  <c r="Q133" i="41"/>
  <c r="O133" i="41" s="1"/>
  <c r="P133" i="41"/>
  <c r="N133" i="41"/>
  <c r="M133" i="41"/>
  <c r="L133" i="41"/>
  <c r="K133" i="41"/>
  <c r="U131" i="41"/>
  <c r="T131" i="41"/>
  <c r="H131" i="41"/>
  <c r="T130" i="41"/>
  <c r="S130" i="41"/>
  <c r="R130" i="41"/>
  <c r="U130" i="41" s="1"/>
  <c r="Q130" i="41"/>
  <c r="P130" i="41"/>
  <c r="N130" i="41"/>
  <c r="O130" i="41" s="1"/>
  <c r="M130" i="41"/>
  <c r="L130" i="41"/>
  <c r="K130" i="41"/>
  <c r="H130" i="41"/>
  <c r="U128" i="41"/>
  <c r="T128" i="41"/>
  <c r="U127" i="41"/>
  <c r="T127" i="41"/>
  <c r="T126" i="41"/>
  <c r="S126" i="41"/>
  <c r="R126" i="41"/>
  <c r="U126" i="41" s="1"/>
  <c r="Q126" i="41"/>
  <c r="P126" i="41"/>
  <c r="N126" i="41"/>
  <c r="O126" i="41" s="1"/>
  <c r="M126" i="41"/>
  <c r="L126" i="41"/>
  <c r="K126" i="41"/>
  <c r="U124" i="41"/>
  <c r="T124" i="41"/>
  <c r="U123" i="41"/>
  <c r="T123" i="41"/>
  <c r="U122" i="41"/>
  <c r="T122" i="41"/>
  <c r="U121" i="41"/>
  <c r="T121" i="41"/>
  <c r="U120" i="41"/>
  <c r="S120" i="41"/>
  <c r="R120" i="41"/>
  <c r="Q120" i="41"/>
  <c r="T120" i="41" s="1"/>
  <c r="P120" i="41"/>
  <c r="O120" i="41"/>
  <c r="N120" i="41"/>
  <c r="M120" i="41"/>
  <c r="M115" i="41" s="1"/>
  <c r="L120" i="41"/>
  <c r="K120" i="41"/>
  <c r="U118" i="41"/>
  <c r="T118" i="41"/>
  <c r="U117" i="41"/>
  <c r="T117" i="41"/>
  <c r="U116" i="41"/>
  <c r="T116" i="41"/>
  <c r="T115" i="41"/>
  <c r="S115" i="41"/>
  <c r="R115" i="41"/>
  <c r="U115" i="41" s="1"/>
  <c r="Q115" i="41"/>
  <c r="P115" i="41"/>
  <c r="N115" i="41"/>
  <c r="O115" i="41" s="1"/>
  <c r="L115" i="41"/>
  <c r="K115" i="41"/>
  <c r="U113" i="41"/>
  <c r="U112" i="41"/>
  <c r="T112" i="41"/>
  <c r="U111" i="41"/>
  <c r="T111" i="41"/>
  <c r="U110" i="41"/>
  <c r="T110" i="41"/>
  <c r="S109" i="41"/>
  <c r="R109" i="41"/>
  <c r="U109" i="41" s="1"/>
  <c r="Q109" i="41"/>
  <c r="O109" i="41" s="1"/>
  <c r="P109" i="41"/>
  <c r="N109" i="41"/>
  <c r="M109" i="41"/>
  <c r="L109" i="41"/>
  <c r="U107" i="41"/>
  <c r="T107" i="41"/>
  <c r="U106" i="41"/>
  <c r="T106" i="41"/>
  <c r="H106" i="41"/>
  <c r="U105" i="41"/>
  <c r="S105" i="41"/>
  <c r="R105" i="41"/>
  <c r="Q105" i="41"/>
  <c r="T105" i="41" s="1"/>
  <c r="P105" i="41"/>
  <c r="N105" i="41"/>
  <c r="M105" i="41"/>
  <c r="L105" i="41"/>
  <c r="K105" i="41"/>
  <c r="U103" i="41"/>
  <c r="T103" i="41"/>
  <c r="U102" i="41"/>
  <c r="T102" i="41"/>
  <c r="U101" i="41"/>
  <c r="T101" i="41"/>
  <c r="S100" i="41"/>
  <c r="R100" i="41"/>
  <c r="U100" i="41" s="1"/>
  <c r="Q100" i="41"/>
  <c r="O100" i="41" s="1"/>
  <c r="P100" i="41"/>
  <c r="N100" i="41"/>
  <c r="M100" i="41"/>
  <c r="L100" i="41"/>
  <c r="K100" i="41"/>
  <c r="U98" i="41"/>
  <c r="T98" i="41"/>
  <c r="U97" i="41"/>
  <c r="T97" i="41"/>
  <c r="U96" i="41"/>
  <c r="S96" i="41"/>
  <c r="R96" i="41"/>
  <c r="Q96" i="41"/>
  <c r="T96" i="41" s="1"/>
  <c r="P96" i="41"/>
  <c r="N96" i="41"/>
  <c r="M96" i="41"/>
  <c r="L96" i="41"/>
  <c r="K96" i="41"/>
  <c r="U95" i="41"/>
  <c r="T95" i="41"/>
  <c r="U94" i="41"/>
  <c r="T94" i="41"/>
  <c r="T93" i="41"/>
  <c r="S93" i="41"/>
  <c r="R93" i="41"/>
  <c r="U93" i="41" s="1"/>
  <c r="Q93" i="41"/>
  <c r="P93" i="41"/>
  <c r="N93" i="41"/>
  <c r="O93" i="41" s="1"/>
  <c r="M93" i="41"/>
  <c r="L93" i="41"/>
  <c r="U90" i="41"/>
  <c r="T90" i="41"/>
  <c r="T89" i="41"/>
  <c r="S89" i="41"/>
  <c r="R89" i="41"/>
  <c r="U89" i="41" s="1"/>
  <c r="Q89" i="41"/>
  <c r="O89" i="41"/>
  <c r="N89" i="41"/>
  <c r="M89" i="41"/>
  <c r="L89" i="41"/>
  <c r="H89" i="41"/>
  <c r="U86" i="41"/>
  <c r="T86" i="41"/>
  <c r="U85" i="41"/>
  <c r="T85" i="41"/>
  <c r="U84" i="41"/>
  <c r="T84" i="41"/>
  <c r="T83" i="41"/>
  <c r="S83" i="41"/>
  <c r="R83" i="41"/>
  <c r="U83" i="41" s="1"/>
  <c r="Q83" i="41"/>
  <c r="P83" i="41"/>
  <c r="N83" i="41"/>
  <c r="O83" i="41" s="1"/>
  <c r="M83" i="41"/>
  <c r="L83" i="41"/>
  <c r="K83" i="41"/>
  <c r="U81" i="41"/>
  <c r="T81" i="41"/>
  <c r="U80" i="41"/>
  <c r="S80" i="41"/>
  <c r="R80" i="41"/>
  <c r="Q80" i="41"/>
  <c r="T80" i="41" s="1"/>
  <c r="P80" i="41"/>
  <c r="N80" i="41"/>
  <c r="M80" i="41"/>
  <c r="K80" i="41"/>
  <c r="U78" i="41"/>
  <c r="T78" i="41"/>
  <c r="U77" i="41"/>
  <c r="S77" i="41"/>
  <c r="R77" i="41"/>
  <c r="Q77" i="41"/>
  <c r="T77" i="41" s="1"/>
  <c r="P77" i="41"/>
  <c r="N77" i="41"/>
  <c r="M77" i="41"/>
  <c r="L77" i="41"/>
  <c r="K77" i="41"/>
  <c r="U75" i="41"/>
  <c r="T75" i="41"/>
  <c r="S74" i="41"/>
  <c r="R74" i="41"/>
  <c r="Q74" i="41"/>
  <c r="P74" i="41"/>
  <c r="N74" i="41"/>
  <c r="O74" i="41" s="1"/>
  <c r="M74" i="41"/>
  <c r="U73" i="41"/>
  <c r="T73" i="41"/>
  <c r="U72" i="41"/>
  <c r="T72" i="41"/>
  <c r="U71" i="41"/>
  <c r="T71" i="41"/>
  <c r="S70" i="41"/>
  <c r="U70" i="41" s="1"/>
  <c r="R70" i="41"/>
  <c r="Q70" i="41"/>
  <c r="T70" i="41" s="1"/>
  <c r="P70" i="41"/>
  <c r="O70" i="41"/>
  <c r="N70" i="41"/>
  <c r="M70" i="41"/>
  <c r="L70" i="41"/>
  <c r="K70" i="41"/>
  <c r="U65" i="41"/>
  <c r="T65" i="41"/>
  <c r="U64" i="41"/>
  <c r="T64" i="41"/>
  <c r="S63" i="41"/>
  <c r="R63" i="41"/>
  <c r="U63" i="41" s="1"/>
  <c r="Q63" i="41"/>
  <c r="O63" i="41" s="1"/>
  <c r="P63" i="41"/>
  <c r="N63" i="41"/>
  <c r="M63" i="41"/>
  <c r="K63" i="41"/>
  <c r="U58" i="41"/>
  <c r="T58" i="41"/>
  <c r="U57" i="41"/>
  <c r="T57" i="41"/>
  <c r="U56" i="41"/>
  <c r="T56" i="41"/>
  <c r="S55" i="41"/>
  <c r="R55" i="41"/>
  <c r="U55" i="41" s="1"/>
  <c r="Q55" i="41"/>
  <c r="O55" i="41" s="1"/>
  <c r="P55" i="41"/>
  <c r="N55" i="41"/>
  <c r="M55" i="41"/>
  <c r="L55" i="41"/>
  <c r="K55" i="41"/>
  <c r="U51" i="41"/>
  <c r="T51" i="41"/>
  <c r="S50" i="41"/>
  <c r="U50" i="41" s="1"/>
  <c r="R50" i="41"/>
  <c r="Q50" i="41"/>
  <c r="T50" i="41" s="1"/>
  <c r="P50" i="41"/>
  <c r="O50" i="41"/>
  <c r="N50" i="41"/>
  <c r="M50" i="41"/>
  <c r="L50" i="41"/>
  <c r="K50" i="41"/>
  <c r="U45" i="41"/>
  <c r="T45" i="41"/>
  <c r="U44" i="41"/>
  <c r="T44" i="41"/>
  <c r="S43" i="41"/>
  <c r="R43" i="41"/>
  <c r="U43" i="41" s="1"/>
  <c r="Q43" i="41"/>
  <c r="O43" i="41" s="1"/>
  <c r="P43" i="41"/>
  <c r="N43" i="41"/>
  <c r="L43" i="41"/>
  <c r="K43" i="41"/>
  <c r="U41" i="41"/>
  <c r="T41" i="41"/>
  <c r="S40" i="41"/>
  <c r="R40" i="41"/>
  <c r="U40" i="41" s="1"/>
  <c r="Q40" i="41"/>
  <c r="O40" i="41" s="1"/>
  <c r="P40" i="41"/>
  <c r="N40" i="41"/>
  <c r="M40" i="41"/>
  <c r="L40" i="41"/>
  <c r="K40" i="41"/>
  <c r="U37" i="41"/>
  <c r="T37" i="41"/>
  <c r="U36" i="41"/>
  <c r="T36" i="41"/>
  <c r="U35" i="41"/>
  <c r="S35" i="41"/>
  <c r="R35" i="41"/>
  <c r="Q35" i="41"/>
  <c r="T35" i="41" s="1"/>
  <c r="P35" i="41"/>
  <c r="N35" i="41"/>
  <c r="M35" i="41"/>
  <c r="L35" i="41"/>
  <c r="U32" i="41"/>
  <c r="T32" i="41"/>
  <c r="U31" i="41"/>
  <c r="S31" i="41"/>
  <c r="R31" i="41"/>
  <c r="Q31" i="41"/>
  <c r="T31" i="41" s="1"/>
  <c r="P31" i="41"/>
  <c r="N31" i="41"/>
  <c r="M31" i="41"/>
  <c r="L31" i="41"/>
  <c r="K31" i="41"/>
  <c r="U28" i="41"/>
  <c r="T28" i="41"/>
  <c r="S27" i="41"/>
  <c r="R27" i="41"/>
  <c r="U27" i="41" s="1"/>
  <c r="Q27" i="41"/>
  <c r="O27" i="41" s="1"/>
  <c r="P27" i="41"/>
  <c r="N27" i="41"/>
  <c r="M27" i="41"/>
  <c r="L27" i="41"/>
  <c r="K27" i="41"/>
  <c r="U25" i="41"/>
  <c r="T25" i="41"/>
  <c r="S24" i="41"/>
  <c r="U24" i="41" s="1"/>
  <c r="R24" i="41"/>
  <c r="Q24" i="41"/>
  <c r="T24" i="41" s="1"/>
  <c r="P24" i="41"/>
  <c r="O24" i="41"/>
  <c r="N24" i="41"/>
  <c r="M24" i="41"/>
  <c r="L24" i="41"/>
  <c r="K24" i="41"/>
  <c r="U22" i="41"/>
  <c r="T22" i="41"/>
  <c r="T21" i="41"/>
  <c r="S21" i="41"/>
  <c r="R21" i="41"/>
  <c r="U21" i="41" s="1"/>
  <c r="Q21" i="41"/>
  <c r="P21" i="41"/>
  <c r="N21" i="41"/>
  <c r="O21" i="41" s="1"/>
  <c r="M21" i="41"/>
  <c r="L21" i="41"/>
  <c r="K21" i="41"/>
  <c r="U16" i="41"/>
  <c r="T16" i="41"/>
  <c r="U15" i="41"/>
  <c r="T15" i="41"/>
  <c r="S14" i="41"/>
  <c r="U14" i="41" s="1"/>
  <c r="R14" i="41"/>
  <c r="Q14" i="41"/>
  <c r="T14" i="41" s="1"/>
  <c r="P14" i="41"/>
  <c r="O14" i="41"/>
  <c r="N14" i="41"/>
  <c r="M14" i="41"/>
  <c r="L14" i="41"/>
  <c r="K14" i="41"/>
  <c r="U12" i="41"/>
  <c r="T12" i="41"/>
  <c r="T11" i="41"/>
  <c r="S11" i="41"/>
  <c r="R11" i="41"/>
  <c r="R144" i="41" s="1"/>
  <c r="Q11" i="41"/>
  <c r="Q144" i="41" s="1"/>
  <c r="P11" i="41"/>
  <c r="P144" i="41" s="1"/>
  <c r="P145" i="41" s="1"/>
  <c r="N11" i="41"/>
  <c r="O11" i="41" s="1"/>
  <c r="M11" i="41"/>
  <c r="L11" i="41"/>
  <c r="K11" i="41"/>
  <c r="H11" i="41"/>
  <c r="R145" i="41" l="1"/>
  <c r="Q145" i="41"/>
  <c r="T144" i="41"/>
  <c r="S144" i="41"/>
  <c r="S145" i="41" s="1"/>
  <c r="U11" i="41"/>
  <c r="T27" i="41"/>
  <c r="T43" i="41"/>
  <c r="O80" i="41"/>
  <c r="O96" i="41"/>
  <c r="O105" i="41"/>
  <c r="T109" i="41"/>
  <c r="T133" i="41"/>
  <c r="O136" i="41"/>
  <c r="O31" i="41"/>
  <c r="O35" i="41"/>
  <c r="T40" i="41"/>
  <c r="T55" i="41"/>
  <c r="T63" i="41"/>
  <c r="O77" i="41"/>
  <c r="T100" i="41"/>
  <c r="U144" i="41" l="1"/>
  <c r="U49" i="47" l="1"/>
  <c r="T49" i="47"/>
  <c r="U48" i="47"/>
  <c r="T48" i="47"/>
  <c r="U47" i="47"/>
  <c r="T47" i="47"/>
  <c r="U46" i="47"/>
  <c r="T46" i="47"/>
  <c r="O46" i="47"/>
  <c r="S45" i="47"/>
  <c r="R45" i="47"/>
  <c r="U45" i="47" s="1"/>
  <c r="Q45" i="47"/>
  <c r="T45" i="47" s="1"/>
  <c r="P45" i="47"/>
  <c r="N45" i="47"/>
  <c r="M45" i="47"/>
  <c r="L45" i="47"/>
  <c r="U42" i="47"/>
  <c r="T42" i="47"/>
  <c r="U41" i="47"/>
  <c r="S41" i="47"/>
  <c r="R41" i="47"/>
  <c r="Q41" i="47"/>
  <c r="T41" i="47" s="1"/>
  <c r="P41" i="47"/>
  <c r="N41" i="47"/>
  <c r="M41" i="47"/>
  <c r="L41" i="47"/>
  <c r="K41" i="47"/>
  <c r="H41" i="47"/>
  <c r="U39" i="47"/>
  <c r="T39" i="47"/>
  <c r="U38" i="47"/>
  <c r="T38" i="47"/>
  <c r="U37" i="47"/>
  <c r="S37" i="47"/>
  <c r="R37" i="47"/>
  <c r="Q37" i="47"/>
  <c r="T37" i="47" s="1"/>
  <c r="P37" i="47"/>
  <c r="N37" i="47"/>
  <c r="M37" i="47"/>
  <c r="L37" i="47"/>
  <c r="H37" i="47"/>
  <c r="U35" i="47"/>
  <c r="T35" i="47"/>
  <c r="S35" i="47"/>
  <c r="S32" i="47" s="1"/>
  <c r="U32" i="47" s="1"/>
  <c r="R35" i="47"/>
  <c r="Q35" i="47"/>
  <c r="U34" i="47"/>
  <c r="T34" i="47"/>
  <c r="Q34" i="47"/>
  <c r="M34" i="47"/>
  <c r="U33" i="47"/>
  <c r="T33" i="47"/>
  <c r="Q33" i="47"/>
  <c r="H33" i="47"/>
  <c r="H32" i="47" s="1"/>
  <c r="R32" i="47"/>
  <c r="Q32" i="47"/>
  <c r="T32" i="47" s="1"/>
  <c r="P32" i="47"/>
  <c r="N32" i="47"/>
  <c r="M32" i="47"/>
  <c r="K32" i="47"/>
  <c r="H31" i="47"/>
  <c r="U30" i="47"/>
  <c r="T30" i="47"/>
  <c r="U29" i="47"/>
  <c r="T29" i="47"/>
  <c r="H29" i="47"/>
  <c r="S28" i="47"/>
  <c r="R28" i="47"/>
  <c r="U28" i="47" s="1"/>
  <c r="Q28" i="47"/>
  <c r="T28" i="47" s="1"/>
  <c r="P28" i="47"/>
  <c r="N28" i="47"/>
  <c r="O28" i="47" s="1"/>
  <c r="M28" i="47"/>
  <c r="L28" i="47"/>
  <c r="U26" i="47"/>
  <c r="T26" i="47"/>
  <c r="U25" i="47"/>
  <c r="T25" i="47"/>
  <c r="H25" i="47"/>
  <c r="U24" i="47"/>
  <c r="S24" i="47"/>
  <c r="R24" i="47"/>
  <c r="Q24" i="47"/>
  <c r="T24" i="47" s="1"/>
  <c r="P24" i="47"/>
  <c r="N24" i="47"/>
  <c r="M24" i="47"/>
  <c r="L24" i="47"/>
  <c r="U21" i="47"/>
  <c r="T21" i="47"/>
  <c r="U20" i="47"/>
  <c r="T20" i="47"/>
  <c r="T19" i="47"/>
  <c r="S19" i="47"/>
  <c r="R19" i="47"/>
  <c r="U19" i="47" s="1"/>
  <c r="Q19" i="47"/>
  <c r="P19" i="47"/>
  <c r="O19" i="47"/>
  <c r="N19" i="47"/>
  <c r="M19" i="47"/>
  <c r="L19" i="47"/>
  <c r="H19" i="47"/>
  <c r="U17" i="47"/>
  <c r="T17" i="47"/>
  <c r="U16" i="47"/>
  <c r="T16" i="47"/>
  <c r="U15" i="47"/>
  <c r="T15" i="47"/>
  <c r="U14" i="47"/>
  <c r="T14" i="47"/>
  <c r="U13" i="47"/>
  <c r="T13" i="47"/>
  <c r="U12" i="47"/>
  <c r="T12" i="47"/>
  <c r="S11" i="47"/>
  <c r="R11" i="47"/>
  <c r="U11" i="47" s="1"/>
  <c r="Q11" i="47"/>
  <c r="T11" i="47" s="1"/>
  <c r="P11" i="47"/>
  <c r="P51" i="47" s="1"/>
  <c r="N11" i="47"/>
  <c r="O11" i="47" s="1"/>
  <c r="M11" i="47"/>
  <c r="L11" i="47"/>
  <c r="K11" i="47"/>
  <c r="H11" i="47"/>
  <c r="C23" i="46"/>
  <c r="U21" i="46"/>
  <c r="T21" i="46"/>
  <c r="U20" i="46"/>
  <c r="S20" i="46"/>
  <c r="R20" i="46"/>
  <c r="Q20" i="46"/>
  <c r="T20" i="46" s="1"/>
  <c r="P20" i="46"/>
  <c r="N20" i="46"/>
  <c r="L20" i="46"/>
  <c r="H20" i="46"/>
  <c r="R17" i="46"/>
  <c r="U17" i="46" s="1"/>
  <c r="S16" i="46"/>
  <c r="R16" i="46"/>
  <c r="U16" i="46" s="1"/>
  <c r="S15" i="46"/>
  <c r="Q15" i="46"/>
  <c r="P15" i="46"/>
  <c r="N15" i="46"/>
  <c r="M15" i="46"/>
  <c r="L15" i="46"/>
  <c r="H15" i="46"/>
  <c r="H14" i="46"/>
  <c r="U13" i="46"/>
  <c r="T13" i="46"/>
  <c r="U12" i="46"/>
  <c r="T12" i="46"/>
  <c r="S11" i="46"/>
  <c r="S23" i="46" s="1"/>
  <c r="R11" i="46"/>
  <c r="U11" i="46" s="1"/>
  <c r="Q11" i="46"/>
  <c r="Q23" i="46" s="1"/>
  <c r="P11" i="46"/>
  <c r="P23" i="46" s="1"/>
  <c r="N11" i="46"/>
  <c r="M11" i="46"/>
  <c r="L11" i="46"/>
  <c r="K11" i="46"/>
  <c r="H11" i="46"/>
  <c r="H10" i="46" s="1"/>
  <c r="S15" i="45"/>
  <c r="C15" i="45"/>
  <c r="U13" i="45"/>
  <c r="T13" i="45"/>
  <c r="U12" i="45"/>
  <c r="T12" i="45"/>
  <c r="U11" i="45"/>
  <c r="T11" i="45"/>
  <c r="S11" i="45"/>
  <c r="R11" i="45"/>
  <c r="R15" i="45" s="1"/>
  <c r="U15" i="45" s="1"/>
  <c r="Q11" i="45"/>
  <c r="O11" i="45" s="1"/>
  <c r="P11" i="45"/>
  <c r="P15" i="45" s="1"/>
  <c r="N11" i="45"/>
  <c r="L11" i="45"/>
  <c r="H11" i="45"/>
  <c r="S51" i="47" l="1"/>
  <c r="Q51" i="47"/>
  <c r="R51" i="47"/>
  <c r="O24" i="47"/>
  <c r="O32" i="47"/>
  <c r="O37" i="47"/>
  <c r="O41" i="47"/>
  <c r="R23" i="46"/>
  <c r="U23" i="46" s="1"/>
  <c r="O11" i="46"/>
  <c r="O15" i="46"/>
  <c r="T17" i="46"/>
  <c r="T11" i="46"/>
  <c r="T16" i="46"/>
  <c r="O20" i="46"/>
  <c r="R15" i="46"/>
  <c r="U15" i="46" s="1"/>
  <c r="G15" i="45"/>
  <c r="O15" i="45"/>
  <c r="Q15" i="45"/>
  <c r="T15" i="45" s="1"/>
  <c r="T15" i="46" l="1"/>
  <c r="T23" i="46"/>
  <c r="G23" i="43"/>
  <c r="U21" i="43"/>
  <c r="T21" i="43"/>
  <c r="U20" i="43"/>
  <c r="T20" i="43"/>
  <c r="U19" i="43"/>
  <c r="T19" i="43"/>
  <c r="U18" i="43"/>
  <c r="S18" i="43"/>
  <c r="R18" i="43"/>
  <c r="R23" i="43" s="1"/>
  <c r="U23" i="43" s="1"/>
  <c r="Q18" i="43"/>
  <c r="O19" i="43" s="1"/>
  <c r="P18" i="43"/>
  <c r="N18" i="43"/>
  <c r="L18" i="43"/>
  <c r="H17" i="43"/>
  <c r="U15" i="43"/>
  <c r="T15" i="43"/>
  <c r="U14" i="43"/>
  <c r="T14" i="43"/>
  <c r="U13" i="43"/>
  <c r="T13" i="43"/>
  <c r="U12" i="43"/>
  <c r="T12" i="43"/>
  <c r="S11" i="43"/>
  <c r="S23" i="43" s="1"/>
  <c r="R11" i="43"/>
  <c r="Q11" i="43"/>
  <c r="T11" i="43" s="1"/>
  <c r="P11" i="43"/>
  <c r="P23" i="43" s="1"/>
  <c r="N11" i="43"/>
  <c r="L11" i="43"/>
  <c r="H10" i="43"/>
  <c r="S46" i="42"/>
  <c r="U44" i="42"/>
  <c r="T44" i="42"/>
  <c r="U43" i="42"/>
  <c r="T43" i="42"/>
  <c r="U42" i="42"/>
  <c r="T42" i="42"/>
  <c r="S42" i="42"/>
  <c r="R42" i="42"/>
  <c r="Q42" i="42"/>
  <c r="O42" i="42" s="1"/>
  <c r="P42" i="42"/>
  <c r="N42" i="42"/>
  <c r="L42" i="42"/>
  <c r="H41" i="42"/>
  <c r="U39" i="42"/>
  <c r="T39" i="42"/>
  <c r="U38" i="42"/>
  <c r="T38" i="42"/>
  <c r="S37" i="42"/>
  <c r="R37" i="42"/>
  <c r="U37" i="42" s="1"/>
  <c r="Q37" i="42"/>
  <c r="P37" i="42"/>
  <c r="N37" i="42"/>
  <c r="O37" i="42" s="1"/>
  <c r="L37" i="42"/>
  <c r="H36" i="42"/>
  <c r="U35" i="42"/>
  <c r="T35" i="42"/>
  <c r="U34" i="42"/>
  <c r="T34" i="42"/>
  <c r="U33" i="42"/>
  <c r="T33" i="42"/>
  <c r="S33" i="42"/>
  <c r="R33" i="42"/>
  <c r="Q33" i="42"/>
  <c r="O33" i="42" s="1"/>
  <c r="P33" i="42"/>
  <c r="N33" i="42"/>
  <c r="L33" i="42"/>
  <c r="H32" i="42"/>
  <c r="U29" i="42"/>
  <c r="T29" i="42"/>
  <c r="U28" i="42"/>
  <c r="T28" i="42"/>
  <c r="S27" i="42"/>
  <c r="R27" i="42"/>
  <c r="U27" i="42" s="1"/>
  <c r="Q27" i="42"/>
  <c r="P27" i="42"/>
  <c r="N27" i="42"/>
  <c r="O27" i="42" s="1"/>
  <c r="L27" i="42"/>
  <c r="H26" i="42"/>
  <c r="U25" i="42"/>
  <c r="T25" i="42"/>
  <c r="U24" i="42"/>
  <c r="T24" i="42"/>
  <c r="U23" i="42"/>
  <c r="T23" i="42"/>
  <c r="S23" i="42"/>
  <c r="R23" i="42"/>
  <c r="Q23" i="42"/>
  <c r="O23" i="42" s="1"/>
  <c r="P23" i="42"/>
  <c r="P46" i="42" s="1"/>
  <c r="N23" i="42"/>
  <c r="L23" i="42"/>
  <c r="H22" i="42"/>
  <c r="U21" i="42"/>
  <c r="T21" i="42"/>
  <c r="U20" i="42"/>
  <c r="T20" i="42"/>
  <c r="S19" i="42"/>
  <c r="R19" i="42"/>
  <c r="U19" i="42" s="1"/>
  <c r="Q19" i="42"/>
  <c r="T19" i="42" s="1"/>
  <c r="P19" i="42"/>
  <c r="N19" i="42"/>
  <c r="O19" i="42" s="1"/>
  <c r="L19" i="42"/>
  <c r="H18" i="42"/>
  <c r="U15" i="42"/>
  <c r="T15" i="42"/>
  <c r="S14" i="42"/>
  <c r="R14" i="42"/>
  <c r="U14" i="42" s="1"/>
  <c r="Q14" i="42"/>
  <c r="T14" i="42" s="1"/>
  <c r="P14" i="42"/>
  <c r="N14" i="42"/>
  <c r="O14" i="42" s="1"/>
  <c r="L14" i="42"/>
  <c r="H13" i="42"/>
  <c r="U12" i="42"/>
  <c r="T12" i="42"/>
  <c r="S11" i="42"/>
  <c r="R11" i="42"/>
  <c r="R46" i="42" s="1"/>
  <c r="Q11" i="42"/>
  <c r="Q46" i="42" s="1"/>
  <c r="P11" i="42"/>
  <c r="N11" i="42"/>
  <c r="O11" i="42" s="1"/>
  <c r="L11" i="42"/>
  <c r="H10" i="42"/>
  <c r="Q23" i="43" l="1"/>
  <c r="U11" i="43"/>
  <c r="O12" i="43"/>
  <c r="T18" i="43"/>
  <c r="O47" i="42"/>
  <c r="G46" i="42"/>
  <c r="O46" i="42"/>
  <c r="T11" i="42"/>
  <c r="T27" i="42"/>
  <c r="T37" i="42"/>
  <c r="U11" i="42"/>
  <c r="O63" i="61"/>
  <c r="O24" i="43" l="1"/>
  <c r="E33" i="5" l="1"/>
  <c r="D33" i="5"/>
  <c r="C33" i="5"/>
  <c r="E19" i="5" l="1"/>
  <c r="D19" i="5"/>
  <c r="C19" i="5"/>
  <c r="E18" i="5" l="1"/>
  <c r="D18" i="5"/>
  <c r="C18" i="5"/>
  <c r="E17" i="5" l="1"/>
  <c r="D17" i="5"/>
  <c r="C17" i="5"/>
  <c r="O51" i="59"/>
  <c r="E13" i="5" l="1"/>
  <c r="D13" i="5"/>
  <c r="C13" i="5"/>
  <c r="E11" i="5" l="1"/>
  <c r="D11" i="5"/>
  <c r="C11" i="5"/>
  <c r="E36" i="5" l="1"/>
  <c r="D36" i="5"/>
  <c r="C12" i="5"/>
  <c r="I38" i="5"/>
  <c r="H38" i="5"/>
  <c r="G38" i="5"/>
  <c r="J38" i="5" s="1"/>
  <c r="B53" i="5" s="1"/>
  <c r="F38" i="5"/>
  <c r="K36" i="5"/>
  <c r="J36" i="5"/>
  <c r="C36" i="5"/>
  <c r="K35" i="5"/>
  <c r="J35" i="5"/>
  <c r="K34" i="5"/>
  <c r="J34" i="5"/>
  <c r="K33" i="5"/>
  <c r="J33" i="5"/>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K18" i="5"/>
  <c r="J18" i="5"/>
  <c r="K17" i="5"/>
  <c r="J17" i="5"/>
  <c r="K16" i="5"/>
  <c r="J16" i="5"/>
  <c r="K15" i="5"/>
  <c r="J15" i="5"/>
  <c r="K14" i="5"/>
  <c r="J14" i="5"/>
  <c r="K13" i="5"/>
  <c r="J13" i="5"/>
  <c r="K12" i="5"/>
  <c r="J12" i="5"/>
  <c r="K11" i="5"/>
  <c r="J11" i="5"/>
  <c r="K10" i="5"/>
  <c r="J10" i="5"/>
  <c r="K38" i="5" l="1"/>
  <c r="B70" i="5" s="1"/>
  <c r="B74" i="5" s="1"/>
  <c r="B57" i="5"/>
  <c r="C57" i="5"/>
  <c r="C74" i="5" l="1"/>
  <c r="C38" i="5"/>
  <c r="D12" i="5"/>
  <c r="E12" i="5"/>
  <c r="D38" i="5" l="1"/>
  <c r="E38" i="5" l="1"/>
  <c r="G58" i="5" s="1"/>
  <c r="H62" i="5" s="1"/>
  <c r="G6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GUIDO ESCOBAR</author>
    <author/>
  </authors>
  <commentList>
    <comment ref="L5" authorId="0" shapeId="0" xr:uid="{00000000-0006-0000-02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2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2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2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2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2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200-000007000000}">
      <text>
        <r>
          <rPr>
            <b/>
            <sz val="9"/>
            <color indexed="81"/>
            <rFont val="Tahoma"/>
            <family val="2"/>
          </rPr>
          <t>GUIDO ESCOBAR:</t>
        </r>
        <r>
          <rPr>
            <sz val="9"/>
            <color indexed="81"/>
            <rFont val="Tahoma"/>
            <family val="2"/>
          </rPr>
          <t xml:space="preserve">
Formato Porcentaje, 1 decimal</t>
        </r>
      </text>
    </comment>
    <comment ref="F41" authorId="1" shapeId="0" xr:uid="{C58F7A31-C8DC-46C7-ADCB-41EF9A83A453}">
      <text>
        <r>
          <rPr>
            <sz val="11"/>
            <color theme="1"/>
            <rFont val="Calibri"/>
            <scheme val="minor"/>
          </rPr>
          <t>======
ID#AAABOtHYt9k
Guido Escobar Morales    (2024-07-22 21:21:14)
Meta cumplida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C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C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C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C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C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C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C00-000007000000}">
      <text>
        <r>
          <rPr>
            <b/>
            <sz val="9"/>
            <color indexed="81"/>
            <rFont val="Tahoma"/>
            <family val="2"/>
          </rPr>
          <t>GUIDO ESCOBAR:</t>
        </r>
        <r>
          <rPr>
            <sz val="9"/>
            <color indexed="81"/>
            <rFont val="Tahoma"/>
            <family val="2"/>
          </rPr>
          <t xml:space="preserve">
Formato Porcentaje, 1 decimal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H172" authorId="0" shapeId="0" xr:uid="{BD690695-C6CF-4802-8B42-D1218857D248}">
      <text>
        <r>
          <rPr>
            <sz val="11"/>
            <color theme="1"/>
            <rFont val="Calibri"/>
            <scheme val="minor"/>
          </rPr>
          <t>======
ID#AAABS8tI6pk
Norha Cecilia Espinosa Perez    (2024-08-02 15:14:18)
Calcular el indicador especifica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E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E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E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E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E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E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E00-000007000000}">
      <text>
        <r>
          <rPr>
            <b/>
            <sz val="9"/>
            <color indexed="81"/>
            <rFont val="Tahoma"/>
            <family val="2"/>
          </rPr>
          <t>GUIDO ESCOBAR:</t>
        </r>
        <r>
          <rPr>
            <sz val="9"/>
            <color indexed="81"/>
            <rFont val="Tahoma"/>
            <family val="2"/>
          </rPr>
          <t xml:space="preserve">
Formato Porcentaje, 1 decimal</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M54" authorId="0" shapeId="0" xr:uid="{98C2F5B4-B76F-44E6-9664-14A477CBA145}">
      <text>
        <r>
          <rPr>
            <sz val="11"/>
            <color theme="1"/>
            <rFont val="Calibri"/>
            <scheme val="minor"/>
          </rPr>
          <t>======
ID#AAABOvYnPSA
Erika Heredia Galindo    (2024-07-29 16:43:00)
entonces deberìa quedar vacío. Aquí el 1 significa que el documento ya está listo.
Yerzon Palacios Garces: 
El documento ya se elaboró y por eso se reportó su cumplimiento, este producto además del documento contempla otras actividades que aun no han terminado. Por tal motivo, se reporta un porcentaje de avance de 22%</t>
        </r>
      </text>
    </comment>
    <comment ref="K80" authorId="0" shapeId="0" xr:uid="{1298D8C6-C6E3-43EB-9BBE-A51018304F79}">
      <text>
        <r>
          <rPr>
            <sz val="11"/>
            <color theme="1"/>
            <rFont val="Calibri"/>
            <scheme val="minor"/>
          </rPr>
          <t>======
ID#AAABOWH8lWs
Yerzon Palacios    (2024-07-09 20:27:18)
El aporte al indicador de plan de desarrollo se relaciona en la meta de producto de proyecto</t>
        </r>
      </text>
    </comment>
    <comment ref="V86" authorId="0" shapeId="0" xr:uid="{E2FA6C8E-5845-4623-9A71-8CA81947DBC9}">
      <text>
        <r>
          <rPr>
            <sz val="11"/>
            <color theme="1"/>
            <rFont val="Calibri"/>
            <scheme val="minor"/>
          </rPr>
          <t>======
ID#AAABOvYnPR4
Erika Heredia Galindo    (2024-07-29 16:43:00)
Es en el 1F donde se colocan las fechas tentativas a nivel de proyecto. En este caso, por tratarse de seguimiento, la fecha va nivel de producto una vez se contrate.</t>
        </r>
      </text>
    </comment>
    <comment ref="V88" authorId="0" shapeId="0" xr:uid="{FD45C11E-3ECC-4D72-953C-1A44FC1EEB56}">
      <text>
        <r>
          <rPr>
            <sz val="11"/>
            <color theme="1"/>
            <rFont val="Calibri"/>
            <scheme val="minor"/>
          </rPr>
          <t>======
ID#AAABOvYnPR0
Erika Heredia Galindo    (2024-07-29 16:43:00)
Es en el 1F donde se colocan las fechas tentativas a nivel de proyecto. En este caso, por tratarse de seguimiento, la fecha va nivel de producto una vez se contrate.</t>
        </r>
      </text>
    </comment>
    <comment ref="H99" authorId="0" shapeId="0" xr:uid="{508A1417-13D0-4789-9043-FB4F81E3CCBD}">
      <text>
        <r>
          <rPr>
            <sz val="11"/>
            <color theme="1"/>
            <rFont val="Calibri"/>
            <scheme val="minor"/>
          </rPr>
          <t>======
ID#AAABOWH8lW0
Yerzon Palacios    (2024-07-09 20:27:18)
No suma  el BP26003676 de dotación,  se dotaran bibliotecas  que tendrán mantenimiento  en el producto A de este  BP.  Tampoco  suman  los mantenimientos o dotaciones con presupuesto  participativo, lo previsto en cada  BP complementara lo  realizado  con recursos de dependencia</t>
        </r>
      </text>
    </comment>
    <comment ref="K99" authorId="0" shapeId="0" xr:uid="{D08F1571-E202-4875-8003-E215B85885BA}">
      <text>
        <r>
          <rPr>
            <sz val="11"/>
            <color theme="1"/>
            <rFont val="Calibri"/>
            <scheme val="minor"/>
          </rPr>
          <t>======
ID#AAABOWH8lW4
Yerzon Palacios    (2024-07-09 20:27:18)
No suma  el BP de dotación,  se dotaran bibliotecas  que tendrán mantenimiento  en el producto A de este  BP.  Tampoco  suman  los mantenimientos o dotaciones con presupuesto  participativo, lo previsto en cada  BP complementara lo  realizado  con recursos de dependencia</t>
        </r>
      </text>
    </comment>
    <comment ref="K114" authorId="0" shapeId="0" xr:uid="{E81E6AB7-CA3D-4424-BF10-0E24D33D8E54}">
      <text>
        <r>
          <rPr>
            <sz val="11"/>
            <color theme="1"/>
            <rFont val="Calibri"/>
            <scheme val="minor"/>
          </rPr>
          <t>======
ID#AAABOWH8lW8
Yerzon Palacios    (2024-07-09 20:27:18)
el numero de  Bibliotecas  esta explicito en la descripción de la meta</t>
        </r>
      </text>
    </comment>
    <comment ref="H127" authorId="0" shapeId="0" xr:uid="{1FA6A182-517E-446E-8346-A7FE25E974AE}">
      <text>
        <r>
          <rPr>
            <sz val="11"/>
            <color theme="1"/>
            <rFont val="Calibri"/>
            <scheme val="minor"/>
          </rPr>
          <t>======
ID#AAABOWH8lXM
Yerzon Palacios    (2024-07-09 20:27:18)
No suma  el aporte . Del BP26003675,  el CH también se contempla en BP26002825, donde se suman 2 bienes.
No suma el aporte del BP26003841. Debido a que este bien tambien se contempla en el BP26002865</t>
        </r>
      </text>
    </comment>
    <comment ref="K127" authorId="0" shapeId="0" xr:uid="{185F05F1-34A1-477E-AC8A-AA214F8ECBBD}">
      <text>
        <r>
          <rPr>
            <sz val="11"/>
            <color theme="1"/>
            <rFont val="Calibri"/>
            <scheme val="minor"/>
          </rPr>
          <t>======
ID#AAABOvYnPSQ
Palacios Garces, Yerzon    (2024-07-29 16:43:00)
El número de bienes a conservar está implícito en la descripción de  las metas de los BP</t>
        </r>
      </text>
    </comment>
    <comment ref="K131" authorId="0" shapeId="0" xr:uid="{D61BABF8-59CD-4148-A350-B778343C6DDF}">
      <text>
        <r>
          <rPr>
            <sz val="11"/>
            <color theme="1"/>
            <rFont val="Calibri"/>
            <scheme val="minor"/>
          </rPr>
          <t>======
ID#AAABOWH8lXg
Manager    (2024-07-09 20:27:18)
Yerzon Palacios
El numero de  bienes  a conservar  esta implícito en la descripción de  las metas del BP</t>
        </r>
      </text>
    </comment>
    <comment ref="V134" authorId="0" shapeId="0" xr:uid="{6C62B840-BC18-403E-8EBC-B42342F33E44}">
      <text>
        <r>
          <rPr>
            <sz val="11"/>
            <color theme="1"/>
            <rFont val="Calibri"/>
            <scheme val="minor"/>
          </rPr>
          <t>======
ID#AAABOvYnPSI
Erika Heredia Galindo    (2024-07-29 16:43:00)
Estas fechas tentativas se colocan en el 1F. En ese caso, por tratarse del seguimiento se borrarìan</t>
        </r>
      </text>
    </comment>
    <comment ref="V142" authorId="0" shapeId="0" xr:uid="{A52A7373-0307-4023-BEA3-AE0DCA547DA6}">
      <text>
        <r>
          <rPr>
            <sz val="11"/>
            <color theme="1"/>
            <rFont val="Calibri"/>
            <scheme val="minor"/>
          </rPr>
          <t>======
ID#AAABOvYnPR8
Erika Heredia Galindo    (2024-07-29 16:43:00)
Estas fechas tentativas se colocan en el 1F. En ese caso, por tratarse del seguimiento se borrarìan</t>
        </r>
      </text>
    </comment>
    <comment ref="V144" authorId="0" shapeId="0" xr:uid="{6B29C076-A5FA-4986-B43F-EAA4C8C18387}">
      <text>
        <r>
          <rPr>
            <sz val="11"/>
            <color theme="1"/>
            <rFont val="Calibri"/>
            <scheme val="minor"/>
          </rPr>
          <t>======
ID#AAABOvYnPSU
Erika Heredia Galindo    (2024-07-29 16:43:00)
Estas fechas tentativas se colocan en el 1F. En ese caso, por tratarse del seguimiento se borrarìan</t>
        </r>
      </text>
    </comment>
    <comment ref="K147" authorId="0" shapeId="0" xr:uid="{21B69FBD-412D-4414-8A1F-572401DA9D4D}">
      <text>
        <r>
          <rPr>
            <sz val="11"/>
            <color theme="1"/>
            <rFont val="Calibri"/>
            <scheme val="minor"/>
          </rPr>
          <t>======
ID#AAABOWH8lXE
Palacios Garces, Yerzon    (2024-07-09 20:27:18)
Los tres productos de este proyecto le apuntan al  cumplimiento de  la meta de Plan de Desarrollo</t>
        </r>
      </text>
    </comment>
    <comment ref="K156" authorId="0" shapeId="0" xr:uid="{6D0C378D-CD11-48EA-93B8-6860E9C40A06}">
      <text>
        <r>
          <rPr>
            <sz val="11"/>
            <color theme="1"/>
            <rFont val="Calibri"/>
            <scheme val="minor"/>
          </rPr>
          <t>======
ID#AAABOWH8lXY
Manager    (2024-07-09 20:27:18)
Yerzon Palacios Garces
El documento  normativo esta  integrado  por las  fichas  de caracterización, el Analís de los  hallazgos,  y la definición  del  estado del inventario de  bienes  muebles, a la fecha de corte</t>
        </r>
      </text>
    </comment>
    <comment ref="K158" authorId="0" shapeId="0" xr:uid="{1757ACE2-4073-4BA7-A849-3CBD0E7C7F2F}">
      <text>
        <r>
          <rPr>
            <sz val="11"/>
            <color theme="1"/>
            <rFont val="Calibri"/>
            <scheme val="minor"/>
          </rPr>
          <t>======
ID#AAABOWH8lXk
Manager    (2024-07-09 20:27:18)
Deifan Arrechea
Todas  las actividades  se  relacionan  con la  conservación, divulgación y protección de la biblioteca del Centenario</t>
        </r>
      </text>
    </comment>
    <comment ref="M213" authorId="0" shapeId="0" xr:uid="{D21FE54B-669A-48AD-AF2E-53348BF480EA}">
      <text>
        <r>
          <rPr>
            <sz val="11"/>
            <color theme="1"/>
            <rFont val="Calibri"/>
            <scheme val="minor"/>
          </rPr>
          <t>======
ID#AAABOvYnPSM
Erika Heredia Galindo    (2024-07-29 16:43:00)
Me queda claro que otras actividades del producto no se han cumplido y por esa raón no puede qudar la ejecución en el 20% (100%). Sin emabrgo, el 1 representa que el documento ya esta listo, lo cual no es cierto. Por tal motivo, esta celda debe quedar en blanco.
Yerzon Palacios Garces:
El documento  rector del programa de concertación es el que le da cumplimiento al producto, el cual se reportó inciando la explicación en la columna x</t>
        </r>
      </text>
    </comment>
    <comment ref="K218" authorId="0" shapeId="0" xr:uid="{907D1320-DC80-471F-9BA5-C7C1DEB513FE}">
      <text>
        <r>
          <rPr>
            <sz val="11"/>
            <color theme="1"/>
            <rFont val="Calibri"/>
            <scheme val="minor"/>
          </rPr>
          <t>======
ID#AAABOWH8lXc
Manager    (2024-07-09 20:27:18)
YERZON PALACIOS
El BP 2858, corresponde al espacio de población vulnerable</t>
        </r>
      </text>
    </comment>
    <comment ref="X219" authorId="0" shapeId="0" xr:uid="{7C0E1449-947D-48BA-8A0F-C598AD55B43F}">
      <text>
        <r>
          <rPr>
            <sz val="11"/>
            <color theme="1"/>
            <rFont val="Calibri"/>
            <scheme val="minor"/>
          </rPr>
          <t>======
ID#AAABOvYnPSE
Erika Heredia Galindo    (2024-07-29 16:43:00)
No me queda claro este producto. Si y ase ejecutò y pagò todo el recurso, ya se terminò (30 de abril) porque el avance físico es del 1%.</t>
        </r>
      </text>
    </comment>
    <comment ref="K221" authorId="0" shapeId="0" xr:uid="{3E2A74BD-87A2-4908-B3D3-45492F953D8C}">
      <text>
        <r>
          <rPr>
            <sz val="11"/>
            <color theme="1"/>
            <rFont val="Calibri"/>
            <scheme val="minor"/>
          </rPr>
          <t>======
ID#AAABOWH8lXU
Manager    (2024-07-09 20:27:18)
YERZON PALACIOS con el bp 2880, se contempla el espacio de  población LGTBI</t>
        </r>
      </text>
    </comment>
    <comment ref="K224" authorId="0" shapeId="0" xr:uid="{14690CFE-0447-4FE9-8EA8-17089658E1FE}">
      <text>
        <r>
          <rPr>
            <sz val="11"/>
            <color theme="1"/>
            <rFont val="Calibri"/>
            <scheme val="minor"/>
          </rPr>
          <t>======
ID#AAABOWH8lXA
Manager    (2024-07-09 20:27:18)
Yerzon Palacios
El BP 2883, corresponde al espacio de  mujeres</t>
        </r>
      </text>
    </comment>
    <comment ref="H277" authorId="0" shapeId="0" xr:uid="{5B279614-F26D-4F60-8CB4-1FA8C1BD5DDD}">
      <text>
        <r>
          <rPr>
            <sz val="11"/>
            <color theme="1"/>
            <rFont val="Calibri"/>
            <scheme val="minor"/>
          </rPr>
          <t>======
ID#AAABOWH8lXI
Manager    (2024-07-09 20:27:18)
Yerzon Palacios
2 BP    asociados  al  indicador. no suma bp 2810, hace parte del proceso de gestión cultural</t>
        </r>
      </text>
    </comment>
    <comment ref="K281" authorId="0" shapeId="0" xr:uid="{A0D2F380-E89F-4DF6-9F05-7EFA766D115E}">
      <text>
        <r>
          <rPr>
            <sz val="11"/>
            <color theme="1"/>
            <rFont val="Calibri"/>
            <scheme val="minor"/>
          </rPr>
          <t>======
ID#AAABOWH8lXQ
Manager    (2024-07-09 20:27:18)
Yerzon Palacios
Los  dos  sistemas   hacen parte  del proceso de gestión Cultural</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11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1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11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11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11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1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1100-000007000000}">
      <text>
        <r>
          <rPr>
            <b/>
            <sz val="9"/>
            <color indexed="81"/>
            <rFont val="Tahoma"/>
            <family val="2"/>
          </rPr>
          <t>GUIDO ESCOBAR:</t>
        </r>
        <r>
          <rPr>
            <sz val="9"/>
            <color indexed="81"/>
            <rFont val="Tahoma"/>
            <family val="2"/>
          </rPr>
          <t xml:space="preserve">
Formato Porcentaje, 1 decimal</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12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2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12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12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12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2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1200-000007000000}">
      <text>
        <r>
          <rPr>
            <b/>
            <sz val="9"/>
            <color indexed="81"/>
            <rFont val="Tahoma"/>
            <family val="2"/>
          </rPr>
          <t>GUIDO ESCOBAR:</t>
        </r>
        <r>
          <rPr>
            <sz val="9"/>
            <color indexed="81"/>
            <rFont val="Tahoma"/>
            <family val="2"/>
          </rPr>
          <t xml:space="preserve">
Formato Porcentaje, 1 decimal</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13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3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13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13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13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3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1300-000007000000}">
      <text>
        <r>
          <rPr>
            <b/>
            <sz val="9"/>
            <color indexed="81"/>
            <rFont val="Tahoma"/>
            <family val="2"/>
          </rPr>
          <t>GUIDO ESCOBAR:</t>
        </r>
        <r>
          <rPr>
            <sz val="9"/>
            <color indexed="81"/>
            <rFont val="Tahoma"/>
            <family val="2"/>
          </rPr>
          <t xml:space="preserve">
Formato Porcentaje, 1 decimal</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tc={3292DA56-6EA5-40C3-BC21-0C87C35E9975}</author>
    <author>tc={880265DD-49DF-438C-B957-C3421CD4CB12}</author>
    <author>tc={2C8224DD-374B-4BCB-BA94-78A66601A862}</author>
    <author>tc={8164B19A-C647-40F0-920C-2948AD90FA30}</author>
    <author>tc={8820D37B-6460-4896-8443-E9D5B8F69EF0}</author>
    <author>Kathe</author>
    <author>tc={20842970-A374-496B-A080-053D7C69149F}</author>
    <author>tc={6A10F590-444C-45D8-9A9C-96BA2F490464}</author>
    <author>tc={DAAF9C96-2C6A-414E-AF5E-7C3518799DEF}</author>
    <author>tc={55CCEF23-BF55-4F34-B101-11711C96FFDB}</author>
    <author>tc={E45F2BF3-E105-4650-9DCB-5B5CC40E8298}</author>
    <author>tc={0E8D28F8-7252-4DFF-BB38-17773DAE6D19}</author>
    <author>tc={A0168620-988F-4276-B15D-6E4D807CB76C}</author>
    <author>tc={A8D51960-8D74-4CD8-94B5-89D2B9EF0583}</author>
    <author>tc={238B539A-718F-4669-9774-6D7EC17BA1A5}</author>
    <author>tc={2CC00279-9BAF-4E5E-846B-16E8927E9D02}</author>
    <author>tc={5FC932DD-5885-4FBC-8CDC-16468982CD50}</author>
    <author>tc={F367C8B8-BDEC-44A0-BF8B-50BD9313DE96}</author>
    <author>tc={259E18F3-77FE-4467-B5DB-F8E5672D7825}</author>
    <author>tc={E051CA2C-9DC8-4073-AB83-CBA9149757FD}</author>
    <author>tc={9B4EFFE3-B1EC-4ABB-B5D7-02F7B2106050}</author>
  </authors>
  <commentList>
    <comment ref="X36" authorId="0" shapeId="0" xr:uid="{3292DA56-6EA5-40C3-BC21-0C87C35E9975}">
      <text>
        <t>[Comentario encadenado]
Su versión de Excel le permite leer este comentario encadenado; sin embargo, las ediciones que se apliquen se quitarán si el archivo se abre en una versión más reciente de Excel. Más información: https://go.microsoft.com/fwlink/?linkid=870924
Comentario:
    Especificar como el apoyo técnico contribuye a la actividad, es la misma explicación de la actividad anterior</t>
      </text>
    </comment>
    <comment ref="X87" authorId="1" shapeId="0" xr:uid="{880265DD-49DF-438C-B957-C3421CD4CB12}">
      <text>
        <t>[Comentario encadenado]
Su versión de Excel le permite leer este comentario encadenado; sin embargo, las ediciones que se apliquen se quitarán si el archivo se abre en una versión más reciente de Excel. Más información: https://go.microsoft.com/fwlink/?linkid=870924
Comentario:
    Explicar como la estrategia de CUIDARTE genera los 3 servicios de apoyo, o si a la fecha se ha generado es 1</t>
      </text>
    </comment>
    <comment ref="N96" authorId="2" shapeId="0" xr:uid="{2C8224DD-374B-4BCB-BA94-78A66601A862}">
      <text>
        <t>[Comentario encadenado]
Su versión de Excel le permite leer este comentario encadenado; sin embargo, las ediciones que se apliquen se quitarán si el archivo se abre en una versión más reciente de Excel. Más información: https://go.microsoft.com/fwlink/?linkid=870924
Comentario:
    A partir de la explicación se observa un avance en la actividad pero no se ve reflejado en el porcentaje de avance</t>
      </text>
    </comment>
    <comment ref="N101" authorId="3" shapeId="0" xr:uid="{8164B19A-C647-40F0-920C-2948AD90FA30}">
      <text>
        <t>[Comentario encadenado]
Su versión de Excel le permite leer este comentario encadenado; sin embargo, las ediciones que se apliquen se quitarán si el archivo se abre en una versión más reciente de Excel. Más información: https://go.microsoft.com/fwlink/?linkid=870924
Comentario:
    A partir de la explicación se observa un avance en la actividad pero no se ve reflejado en el porcentaje de avance</t>
      </text>
    </comment>
    <comment ref="X105" authorId="4" shapeId="0" xr:uid="{8820D37B-6460-4896-8443-E9D5B8F69EF0}">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J108" authorId="5" shapeId="0" xr:uid="{66AB911B-4C98-4D2B-BF54-A3F9BC605EB3}">
      <text>
        <r>
          <rPr>
            <b/>
            <sz val="9"/>
            <color indexed="81"/>
            <rFont val="Tahoma"/>
            <family val="2"/>
          </rPr>
          <t>Kathe:</t>
        </r>
        <r>
          <rPr>
            <sz val="9"/>
            <color indexed="81"/>
            <rFont val="Tahoma"/>
            <family val="2"/>
          </rPr>
          <t xml:space="preserve">
Producto asociado solo a una actividad: "Realizar interventoría de los procesos de Adecuación de los escenarios deportivos y recreativos de Santiago de Cali"</t>
        </r>
      </text>
    </comment>
    <comment ref="X108" authorId="6" shapeId="0" xr:uid="{20842970-A374-496B-A080-053D7C69149F}">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N110" authorId="7" shapeId="0" xr:uid="{6A10F590-444C-45D8-9A9C-96BA2F490464}">
      <text>
        <t>[Comentario encadenado]
Su versión de Excel le permite leer este comentario encadenado; sin embargo, las ediciones que se apliquen se quitarán si el archivo se abre en una versión más reciente de Excel. Más información: https://go.microsoft.com/fwlink/?linkid=870924
Comentario:
    A partir de la explicación se observa un avance en la actividad pero no se ve reflejado en el porcentaje de avance</t>
      </text>
    </comment>
    <comment ref="N111" authorId="8" shapeId="0" xr:uid="{DAAF9C96-2C6A-414E-AF5E-7C3518799DEF}">
      <text>
        <t>[Comentario encadenado]
Su versión de Excel le permite leer este comentario encadenado; sin embargo, las ediciones que se apliquen se quitarán si el archivo se abre en una versión más reciente de Excel. Más información: https://go.microsoft.com/fwlink/?linkid=870924
Comentario:
    A partir de la explicación se observa un avance en la actividad pero no se ve reflejado en el porcentaje de avance</t>
      </text>
    </comment>
    <comment ref="X113" authorId="9" shapeId="0" xr:uid="{55CCEF23-BF55-4F34-B101-11711C96FFDB}">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X115" authorId="10" shapeId="0" xr:uid="{E45F2BF3-E105-4650-9DCB-5B5CC40E8298}">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X117" authorId="11" shapeId="0" xr:uid="{0E8D28F8-7252-4DFF-BB38-17773DAE6D19}">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X119" authorId="12" shapeId="0" xr:uid="{A0168620-988F-4276-B15D-6E4D807CB76C}">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X121" authorId="13" shapeId="0" xr:uid="{A8D51960-8D74-4CD8-94B5-89D2B9EF0583}">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X123" authorId="14" shapeId="0" xr:uid="{238B539A-718F-4669-9774-6D7EC17BA1A5}">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X125" authorId="15" shapeId="0" xr:uid="{2CC00279-9BAF-4E5E-846B-16E8927E9D02}">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X127" authorId="16" shapeId="0" xr:uid="{5FC932DD-5885-4FBC-8CDC-16468982CD50}">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X129" authorId="17" shapeId="0" xr:uid="{F367C8B8-BDEC-44A0-BF8B-50BD9313DE96}">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X131" authorId="18" shapeId="0" xr:uid="{259E18F3-77FE-4467-B5DB-F8E5672D7825}">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X133" authorId="19" shapeId="0" xr:uid="{E051CA2C-9DC8-4073-AB83-CBA9149757FD}">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no es posible presentar avances en ella</t>
      </text>
    </comment>
    <comment ref="X135" authorId="20" shapeId="0" xr:uid="{9B4EFFE3-B1EC-4ABB-B5D7-02F7B2106050}">
      <text>
        <t>[Comentario encadenado]
Su versión de Excel le permite leer este comentario encadenado; sin embargo, las ediciones que se apliquen se quitarán si el archivo se abre en una versión más reciente de Excel. Más información: https://go.microsoft.com/fwlink/?linkid=870924
Comentario:
    Revisar y validar la información completa de la actividad</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GUIDO ESCOBAR</author>
    <author>Administrator</author>
    <author>Erika Heredia Galindo</author>
  </authors>
  <commentList>
    <comment ref="L5" authorId="0" shapeId="0" xr:uid="{00000000-0006-0000-17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7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1700-000003000000}">
      <text>
        <r>
          <rPr>
            <b/>
            <sz val="9"/>
            <color indexed="81"/>
            <rFont val="Tahoma"/>
            <family val="2"/>
          </rPr>
          <t>GUIDO ESCOBAR:</t>
        </r>
        <r>
          <rPr>
            <sz val="9"/>
            <color indexed="81"/>
            <rFont val="Tahoma"/>
            <family val="2"/>
          </rPr>
          <t xml:space="preserve">
Formato Porcentaje, 1 decimal</t>
        </r>
      </text>
    </comment>
    <comment ref="P5" authorId="1" shapeId="0" xr:uid="{00000000-0006-0000-1700-000004000000}">
      <text>
        <r>
          <rPr>
            <b/>
            <sz val="9"/>
            <color indexed="81"/>
            <rFont val="Tahoma"/>
            <family val="2"/>
          </rPr>
          <t>Administrator:</t>
        </r>
        <r>
          <rPr>
            <sz val="9"/>
            <color indexed="81"/>
            <rFont val="Tahoma"/>
            <family val="2"/>
          </rPr>
          <t xml:space="preserve">
Formato número, 0 decimales</t>
        </r>
      </text>
    </comment>
    <comment ref="Q5" authorId="1" shapeId="0" xr:uid="{00000000-0006-0000-1700-000005000000}">
      <text>
        <r>
          <rPr>
            <b/>
            <sz val="9"/>
            <color indexed="81"/>
            <rFont val="Tahoma"/>
            <family val="2"/>
          </rPr>
          <t>Administrator:</t>
        </r>
        <r>
          <rPr>
            <sz val="9"/>
            <color indexed="81"/>
            <rFont val="Tahoma"/>
            <family val="2"/>
          </rPr>
          <t xml:space="preserve">
Formato número, 0 decimales</t>
        </r>
      </text>
    </comment>
    <comment ref="R5" authorId="0" shapeId="0" xr:uid="{00000000-0006-0000-1700-000006000000}">
      <text>
        <r>
          <rPr>
            <b/>
            <sz val="9"/>
            <color indexed="81"/>
            <rFont val="Tahoma"/>
            <family val="2"/>
          </rPr>
          <t>GUIDO ESCOBAR:</t>
        </r>
        <r>
          <rPr>
            <sz val="9"/>
            <color indexed="81"/>
            <rFont val="Tahoma"/>
            <family val="2"/>
          </rPr>
          <t xml:space="preserve">
Corresonde al valor del RPC</t>
        </r>
      </text>
    </comment>
    <comment ref="S5" authorId="0" shapeId="0" xr:uid="{00000000-0006-0000-1700-000007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700-000008000000}">
      <text>
        <r>
          <rPr>
            <b/>
            <sz val="9"/>
            <color indexed="81"/>
            <rFont val="Tahoma"/>
            <family val="2"/>
          </rPr>
          <t>GUIDO ESCOBAR:</t>
        </r>
        <r>
          <rPr>
            <sz val="9"/>
            <color indexed="81"/>
            <rFont val="Tahoma"/>
            <family val="2"/>
          </rPr>
          <t xml:space="preserve">
Formato Porcentaje, 1 decimal</t>
        </r>
      </text>
    </comment>
    <comment ref="U5" authorId="0" shapeId="0" xr:uid="{00000000-0006-0000-1700-000009000000}">
      <text>
        <r>
          <rPr>
            <b/>
            <sz val="9"/>
            <color indexed="81"/>
            <rFont val="Tahoma"/>
            <family val="2"/>
          </rPr>
          <t>GUIDO ESCOBAR:</t>
        </r>
        <r>
          <rPr>
            <sz val="9"/>
            <color indexed="81"/>
            <rFont val="Tahoma"/>
            <family val="2"/>
          </rPr>
          <t xml:space="preserve">
Formato Porcentaje, 1 decimal</t>
        </r>
      </text>
    </comment>
    <comment ref="X47" authorId="2" shapeId="0" xr:uid="{D381B66B-11E9-47EA-97C3-569F9200062A}">
      <text>
        <r>
          <rPr>
            <b/>
            <sz val="9"/>
            <color rgb="FF000000"/>
            <rFont val="Tahoma"/>
            <family val="2"/>
          </rPr>
          <t>Erika Heredia Galindo:</t>
        </r>
        <r>
          <rPr>
            <sz val="9"/>
            <color rgb="FF000000"/>
            <rFont val="Tahoma"/>
            <family val="2"/>
          </rPr>
          <t xml:space="preserve">
</t>
        </r>
        <r>
          <rPr>
            <sz val="9"/>
            <color rgb="FF000000"/>
            <rFont val="Tahoma"/>
            <family val="2"/>
          </rPr>
          <t>David, este producto tiene un avance físico del 5%, por tanto esta no puede ser la explicación.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19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900-000002000000}">
      <text>
        <r>
          <rPr>
            <b/>
            <sz val="9"/>
            <color rgb="FF000000"/>
            <rFont val="Tahoma"/>
            <family val="2"/>
          </rPr>
          <t>GUIDO ESCOBAR:</t>
        </r>
        <r>
          <rPr>
            <sz val="9"/>
            <color rgb="FF000000"/>
            <rFont val="Tahoma"/>
            <family val="2"/>
          </rPr>
          <t xml:space="preserve">
</t>
        </r>
        <r>
          <rPr>
            <sz val="9"/>
            <color rgb="FF000000"/>
            <rFont val="Tahoma"/>
            <family val="2"/>
          </rPr>
          <t>Formato Porcentaje, 1 decimal</t>
        </r>
      </text>
    </comment>
    <comment ref="O5" authorId="0" shapeId="0" xr:uid="{00000000-0006-0000-19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19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19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9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1900-000007000000}">
      <text>
        <r>
          <rPr>
            <b/>
            <sz val="9"/>
            <color indexed="81"/>
            <rFont val="Tahoma"/>
            <family val="2"/>
          </rPr>
          <t>GUIDO ESCOBAR:</t>
        </r>
        <r>
          <rPr>
            <sz val="9"/>
            <color indexed="81"/>
            <rFont val="Tahoma"/>
            <family val="2"/>
          </rPr>
          <t xml:space="preserve">
Formato Porcentaje, 1 decimal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GUIDO ESCOBAR</author>
    <author>Usuario</author>
  </authors>
  <commentList>
    <comment ref="L5" authorId="0" shapeId="0" xr:uid="{00000000-0006-0000-03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3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3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3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3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3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300-000007000000}">
      <text>
        <r>
          <rPr>
            <b/>
            <sz val="9"/>
            <color indexed="81"/>
            <rFont val="Tahoma"/>
            <family val="2"/>
          </rPr>
          <t>GUIDO ESCOBAR:</t>
        </r>
        <r>
          <rPr>
            <sz val="9"/>
            <color indexed="81"/>
            <rFont val="Tahoma"/>
            <family val="2"/>
          </rPr>
          <t xml:space="preserve">
Formato Porcentaje, 1 decimal</t>
        </r>
      </text>
    </comment>
    <comment ref="H17" authorId="1" shapeId="0" xr:uid="{185A8434-C7A7-4AE0-BF2A-C2888AA2C042}">
      <text>
        <r>
          <rPr>
            <b/>
            <sz val="9"/>
            <color indexed="81"/>
            <rFont val="Tahoma"/>
            <family val="2"/>
          </rPr>
          <t>Usuario:</t>
        </r>
        <r>
          <rPr>
            <sz val="9"/>
            <color indexed="81"/>
            <rFont val="Tahoma"/>
            <family val="2"/>
          </rPr>
          <t xml:space="preserve">
se debe explicar el avance, para registrarlos en el aplicativo SPI</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V19" authorId="0" shapeId="0" xr:uid="{20CE34F4-724F-4C87-86A6-CFC8E833F76F}">
      <text>
        <r>
          <rPr>
            <sz val="11"/>
            <color theme="1"/>
            <rFont val="Calibri"/>
            <family val="2"/>
            <scheme val="minor"/>
          </rPr>
          <t>======
ID#AAABSdFC_Og
MiPC    (2024-07-25 20:08:41)
Angélica: Las fechas van a nivel de cada producto. Se diligenciancuando hay ejecución presupuestal. No fechas tentativas. PORF REVISAR TODO</t>
        </r>
      </text>
    </comment>
    <comment ref="V20" authorId="0" shapeId="0" xr:uid="{BE723716-95A2-474B-8DBE-B0A2F700630F}">
      <text>
        <r>
          <rPr>
            <sz val="11"/>
            <color theme="1"/>
            <rFont val="Calibri"/>
            <family val="2"/>
            <scheme val="minor"/>
          </rPr>
          <t>======
ID#AAABSdFC_Oc
Guido Escobar Morales    (2024-07-25 20:08:41)
ídem</t>
        </r>
      </text>
    </comment>
    <comment ref="V22" authorId="0" shapeId="0" xr:uid="{C8FF7729-F77B-48C7-A4B0-AF5091EFFCD5}">
      <text>
        <r>
          <rPr>
            <sz val="11"/>
            <color theme="1"/>
            <rFont val="Calibri"/>
            <family val="2"/>
            <scheme val="minor"/>
          </rPr>
          <t>======
ID#AAABSdFC_OY
Guido Escobar Morales    (2024-07-25 20:08:41)
ídem</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GUIDO ESCOBAR</author>
    <author>Administrator</author>
    <author>tc={08091B97-F3EE-4D9A-8494-D416C126654A}</author>
    <author>tc={FBF634DD-9532-4973-A220-6C14CB170CD0}</author>
    <author>tc={8BE7B43C-3196-45E7-A18A-60894B415F0D}</author>
  </authors>
  <commentList>
    <comment ref="L5" authorId="0" shapeId="0" xr:uid="{00000000-0006-0000-1B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1B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1B00-000003000000}">
      <text>
        <r>
          <rPr>
            <b/>
            <sz val="9"/>
            <color indexed="81"/>
            <rFont val="Tahoma"/>
            <family val="2"/>
          </rPr>
          <t>GUIDO ESCOBAR:</t>
        </r>
        <r>
          <rPr>
            <sz val="9"/>
            <color indexed="81"/>
            <rFont val="Tahoma"/>
            <family val="2"/>
          </rPr>
          <t xml:space="preserve">
Formato Porcentaje, 1 decimal</t>
        </r>
      </text>
    </comment>
    <comment ref="P5" authorId="1" shapeId="0" xr:uid="{00000000-0006-0000-1B00-000004000000}">
      <text>
        <r>
          <rPr>
            <b/>
            <sz val="9"/>
            <color indexed="81"/>
            <rFont val="Tahoma"/>
            <family val="2"/>
          </rPr>
          <t>Administrator:</t>
        </r>
        <r>
          <rPr>
            <sz val="9"/>
            <color indexed="81"/>
            <rFont val="Tahoma"/>
            <family val="2"/>
          </rPr>
          <t xml:space="preserve">
Formato número, 0 decimales</t>
        </r>
      </text>
    </comment>
    <comment ref="Q5" authorId="1" shapeId="0" xr:uid="{00000000-0006-0000-1B00-000005000000}">
      <text>
        <r>
          <rPr>
            <b/>
            <sz val="9"/>
            <color indexed="81"/>
            <rFont val="Tahoma"/>
            <family val="2"/>
          </rPr>
          <t>Administrator:</t>
        </r>
        <r>
          <rPr>
            <sz val="9"/>
            <color indexed="81"/>
            <rFont val="Tahoma"/>
            <family val="2"/>
          </rPr>
          <t xml:space="preserve">
Formato número, 0 decimales</t>
        </r>
      </text>
    </comment>
    <comment ref="R5" authorId="0" shapeId="0" xr:uid="{00000000-0006-0000-1B00-000006000000}">
      <text>
        <r>
          <rPr>
            <b/>
            <sz val="9"/>
            <color indexed="81"/>
            <rFont val="Tahoma"/>
            <family val="2"/>
          </rPr>
          <t>GUIDO ESCOBAR:</t>
        </r>
        <r>
          <rPr>
            <sz val="9"/>
            <color indexed="81"/>
            <rFont val="Tahoma"/>
            <family val="2"/>
          </rPr>
          <t xml:space="preserve">
Corresonde al valor del RPC</t>
        </r>
      </text>
    </comment>
    <comment ref="S5" authorId="0" shapeId="0" xr:uid="{00000000-0006-0000-1B00-000007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1B00-000008000000}">
      <text>
        <r>
          <rPr>
            <b/>
            <sz val="9"/>
            <color indexed="81"/>
            <rFont val="Tahoma"/>
            <family val="2"/>
          </rPr>
          <t>GUIDO ESCOBAR:</t>
        </r>
        <r>
          <rPr>
            <sz val="9"/>
            <color indexed="81"/>
            <rFont val="Tahoma"/>
            <family val="2"/>
          </rPr>
          <t xml:space="preserve">
Formato Porcentaje, 1 decimal</t>
        </r>
      </text>
    </comment>
    <comment ref="U5" authorId="0" shapeId="0" xr:uid="{00000000-0006-0000-1B00-000009000000}">
      <text>
        <r>
          <rPr>
            <b/>
            <sz val="9"/>
            <color indexed="81"/>
            <rFont val="Tahoma"/>
            <family val="2"/>
          </rPr>
          <t>GUIDO ESCOBAR:</t>
        </r>
        <r>
          <rPr>
            <sz val="9"/>
            <color indexed="81"/>
            <rFont val="Tahoma"/>
            <family val="2"/>
          </rPr>
          <t xml:space="preserve">
Formato Porcentaje, 1 decimal</t>
        </r>
      </text>
    </comment>
    <comment ref="X12" authorId="2" shapeId="0" xr:uid="{08091B97-F3EE-4D9A-8494-D416C126654A}">
      <text>
        <t>[Comentario encadenado]
Su versión de Excel le permite leer este comentario encadenado; sin embargo, las ediciones que se apliquen se quitarán si el archivo se abre en una versión más reciente de Excel. Más información: https://go.microsoft.com/fwlink/?linkid=870924
Comentario:
    En la descripción se dice el avance en la gestión hasta el mes de marzo</t>
      </text>
    </comment>
    <comment ref="X22" authorId="3" shapeId="0" xr:uid="{FBF634DD-9532-4973-A220-6C14CB170CD0}">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se entiende que el producto no ha iniciado y no se debe presentar avances en ella.</t>
      </text>
    </comment>
    <comment ref="X23" authorId="4" shapeId="0" xr:uid="{8BE7B43C-3196-45E7-A18A-60894B415F0D}">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se entiende que el producto no ha iniciado y no se debe presentar avances en ella.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4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4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4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4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4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4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400-000007000000}">
      <text>
        <r>
          <rPr>
            <b/>
            <sz val="9"/>
            <color indexed="81"/>
            <rFont val="Tahoma"/>
            <family val="2"/>
          </rPr>
          <t>GUIDO ESCOBAR:</t>
        </r>
        <r>
          <rPr>
            <sz val="9"/>
            <color indexed="81"/>
            <rFont val="Tahoma"/>
            <family val="2"/>
          </rPr>
          <t xml:space="preserve">
Formato Porcentaje, 1 decimal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5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5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5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5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5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5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500-000007000000}">
      <text>
        <r>
          <rPr>
            <b/>
            <sz val="9"/>
            <color indexed="81"/>
            <rFont val="Tahoma"/>
            <family val="2"/>
          </rPr>
          <t>GUIDO ESCOBAR:</t>
        </r>
        <r>
          <rPr>
            <sz val="9"/>
            <color indexed="81"/>
            <rFont val="Tahoma"/>
            <family val="2"/>
          </rPr>
          <t xml:space="preserve">
Formato Porcentaje, 1 decimal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GUIDO ESCOBAR</author>
    <author/>
  </authors>
  <commentList>
    <comment ref="L5" authorId="0" shapeId="0" xr:uid="{00000000-0006-0000-06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6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6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6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6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6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600-000007000000}">
      <text>
        <r>
          <rPr>
            <b/>
            <sz val="9"/>
            <color indexed="81"/>
            <rFont val="Tahoma"/>
            <family val="2"/>
          </rPr>
          <t>GUIDO ESCOBAR:</t>
        </r>
        <r>
          <rPr>
            <sz val="9"/>
            <color indexed="81"/>
            <rFont val="Tahoma"/>
            <family val="2"/>
          </rPr>
          <t xml:space="preserve">
Formato Porcentaje, 1 decimal</t>
        </r>
      </text>
    </comment>
    <comment ref="M12" authorId="1" shapeId="0" xr:uid="{60C603A5-6540-4C84-88FC-E6DF86CB0634}">
      <text>
        <r>
          <rPr>
            <sz val="11"/>
            <color theme="1"/>
            <rFont val="Calibri"/>
            <scheme val="minor"/>
          </rPr>
          <t>======
ID#AAABE-M3u8c
Olga Lucia Valencia Medina    (2024-01-25 14:27:40)
La meta finaliza con el acto administrativo y éste se encuentra en solicitud para publicación.</t>
        </r>
      </text>
    </comment>
    <comment ref="X21" authorId="1" shapeId="0" xr:uid="{EEB04EFC-DF72-4FD9-BF72-C60F9B41E7F9}">
      <text>
        <r>
          <rPr>
            <sz val="11"/>
            <color theme="1"/>
            <rFont val="Calibri"/>
            <scheme val="minor"/>
          </rPr>
          <t>======
ID#AAABE-M3u8I
    (2024-01-25 14:27:40)
Si no tiene ejecución como tiene avance físico ?</t>
        </r>
      </text>
    </comment>
    <comment ref="X38" authorId="1" shapeId="0" xr:uid="{7B7E3613-EA05-47E1-AA6E-C03361D31A84}">
      <text>
        <r>
          <rPr>
            <sz val="11"/>
            <color theme="1"/>
            <rFont val="Calibri"/>
            <scheme val="minor"/>
          </rPr>
          <t>======
ID#AAABE-M3u8E
Guido Escobar Morales    (2024-01-25 14:27:40)
¿Y de enero a diciembre?</t>
        </r>
      </text>
    </comment>
    <comment ref="M43" authorId="1" shapeId="0" xr:uid="{B057BC61-D5F6-4E48-8B05-7D89AEDA72C2}">
      <text>
        <r>
          <rPr>
            <sz val="11"/>
            <color theme="1"/>
            <rFont val="Calibri"/>
            <scheme val="minor"/>
          </rPr>
          <t>======
ID#AAABE-M3u8w
Olga Lucia Valencia Medina    (2024-01-25 14:27:40)
Se implementó el software de sistema catastral y la unidad de medida es 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7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7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7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7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7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7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700-000007000000}">
      <text>
        <r>
          <rPr>
            <b/>
            <sz val="9"/>
            <color indexed="81"/>
            <rFont val="Tahoma"/>
            <family val="2"/>
          </rPr>
          <t>GUIDO ESCOBAR:</t>
        </r>
        <r>
          <rPr>
            <sz val="9"/>
            <color indexed="81"/>
            <rFont val="Tahoma"/>
            <family val="2"/>
          </rPr>
          <t xml:space="preserve">
Formato Porcentaje, 1 decimal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tc={D39CF525-3AC9-427D-B672-39E1741C7401}</author>
    <author>tc={40B25504-124D-43B7-BC1F-CE7C8714668F}</author>
    <author>tc={A2A900C0-48A9-4E8F-ACA8-8622C73E1781}</author>
    <author>tc={D35D3563-56AA-426C-B16E-1491BB696099}</author>
    <author>tc={5757A375-7DE2-42D1-95C5-0C87297E2088}</author>
    <author>tc={C0037117-5470-450C-8C98-C2BB48593FF0}</author>
    <author>tc={EA86CA14-C7BB-4A3F-A8D4-457DE641AD96}</author>
    <author>tc={F976749F-E0F3-4395-BC5D-809B6E9758BA}</author>
    <author>tc={7969ED0F-4C5D-4551-8C88-A41388510691}</author>
    <author>tc={A54305D6-CCAD-4B6F-B765-4914DFF48D33}</author>
    <author>tc={1A7B2DEE-0751-4810-AB85-64664CC41207}</author>
  </authors>
  <commentList>
    <comment ref="N80" authorId="0" shapeId="0" xr:uid="{D39CF525-3AC9-427D-B672-39E1741C7401}">
      <text>
        <t>[Comentario encadenado]
Su versión de Excel le permite leer este comentario encadenado; sin embargo, las ediciones que se apliquen se quitarán si el archivo se abre en una versión más reciente de Excel. Más información: https://go.microsoft.com/fwlink/?linkid=870924
Comentario:
    El porcentaje de avance no puede ser mayor a la ponderación asignada en la columna "L"</t>
      </text>
    </comment>
    <comment ref="N83" authorId="1" shapeId="0" xr:uid="{40B25504-124D-43B7-BC1F-CE7C8714668F}">
      <text>
        <t>[Comentario encadenado]
Su versión de Excel le permite leer este comentario encadenado; sin embargo, las ediciones que se apliquen se quitarán si el archivo se abre en una versión más reciente de Excel. Más información: https://go.microsoft.com/fwlink/?linkid=870924
Comentario:
    A partir del porcentaje de avance reportado, se entiende que el producto ha finalizado y la meta propuesta se ha completado</t>
      </text>
    </comment>
    <comment ref="X159" authorId="2" shapeId="0" xr:uid="{A2A900C0-48A9-4E8F-ACA8-8622C73E178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 partir que el producto presento asignación de presupuesto, se debe dar una explicación de los avances alcanzados </t>
      </text>
    </comment>
    <comment ref="M176" authorId="3" shapeId="0" xr:uid="{D35D3563-56AA-426C-B16E-1491BB696099}">
      <text>
        <t>[Comentario encadenado]
Su versión de Excel le permite leer este comentario encadenado; sin embargo, las ediciones que se apliquen se quitarán si el archivo se abre en una versión más reciente de Excel. Más información: https://go.microsoft.com/fwlink/?linkid=870924
Comentario:
    Los valores asignados en estas casillas deben cifras completas a causa que no es posible medir el 0,5 de una acción, para eso se pone un % de avance de ellas en la columna "N" y se describe en la columna "X"</t>
      </text>
    </comment>
    <comment ref="X180" authorId="4" shapeId="0" xr:uid="{5757A375-7DE2-42D1-95C5-0C87297E2088}">
      <text>
        <t>[Comentario encadenado]
Su versión de Excel le permite leer este comentario encadenado; sin embargo, las ediciones que se apliquen se quitarán si el archivo se abre en una versión más reciente de Excel. Más información: https://go.microsoft.com/fwlink/?linkid=870924
Comentario:
    Dentro del comentario se reporta la información a marzo y la fecha de corte para este reporte es 30 de junio</t>
      </text>
    </comment>
    <comment ref="M181" authorId="5" shapeId="0" xr:uid="{C0037117-5470-450C-8C98-C2BB48593FF0}">
      <text>
        <t>[Comentario encadenado]
Su versión de Excel le permite leer este comentario encadenado; sin embargo, las ediciones que se apliquen se quitarán si el archivo se abre en una versión más reciente de Excel. Más información: https://go.microsoft.com/fwlink/?linkid=870924
Comentario:
    Como el producto no cuenta con presupuesto ejecutado, no es posible reportar avance de las actividades desarrolladas bajo este rubro</t>
      </text>
    </comment>
    <comment ref="X181" authorId="6" shapeId="0" xr:uid="{EA86CA14-C7BB-4A3F-A8D4-457DE641AD96}">
      <text>
        <t>[Comentario encadenado]
Su versión de Excel le permite leer este comentario encadenado; sin embargo, las ediciones que se apliquen se quitarán si el archivo se abre en una versión más reciente de Excel. Más información: https://go.microsoft.com/fwlink/?linkid=870924
Comentario:
    A causa que la actividad no cuenta con presupuesto ejecutado, se entiende que el producto no ha iniciado y no se debe presentar avances en ella.</t>
      </text>
    </comment>
    <comment ref="M184" authorId="7" shapeId="0" xr:uid="{F976749F-E0F3-4395-BC5D-809B6E9758BA}">
      <text>
        <t>[Comentario encadenado]
Su versión de Excel le permite leer este comentario encadenado; sin embargo, las ediciones que se apliquen se quitarán si el archivo se abre en una versión más reciente de Excel. Más información: https://go.microsoft.com/fwlink/?linkid=870924
Comentario:
    Los valores asignados en estas casillas deben cifras completas a causa que no es posible medir el 0,5 de una acción, para eso se pone un % de avance de ellas en la columna "N" y se describe en la columna "X"</t>
      </text>
    </comment>
    <comment ref="X185" authorId="8" shapeId="0" xr:uid="{7969ED0F-4C5D-4551-8C88-A41388510691}">
      <text>
        <t>[Comentario encadenado]
Su versión de Excel le permite leer este comentario encadenado; sin embargo, las ediciones que se apliquen se quitarán si el archivo se abre en una versión más reciente de Excel. Más información: https://go.microsoft.com/fwlink/?linkid=870924
Comentario:
    Dentro del comentario se reporta la información a marzo y la fecha de corte para este reporte es 30 de junio</t>
      </text>
    </comment>
    <comment ref="M196" authorId="9" shapeId="0" xr:uid="{A54305D6-CCAD-4B6F-B765-4914DFF48D33}">
      <text>
        <t>[Comentario encadenado]
Su versión de Excel le permite leer este comentario encadenado; sin embargo, las ediciones que se apliquen se quitarán si el archivo se abre en una versión más reciente de Excel. Más información: https://go.microsoft.com/fwlink/?linkid=870924
Comentario:
    Los valores asignados en estas casillas deben cifras completas a causa que no es posible medir el 0,5 de una acción, para eso se pone un % de avance de ellas en la columna "N" y se describe en la columna "X"</t>
      </text>
    </comment>
    <comment ref="M200" authorId="10" shapeId="0" xr:uid="{1A7B2DEE-0751-4810-AB85-64664CC41207}">
      <text>
        <t>[Comentario encadenado]
Su versión de Excel le permite leer este comentario encadenado; sin embargo, las ediciones que se apliquen se quitarán si el archivo se abre en una versión más reciente de Excel. Más información: https://go.microsoft.com/fwlink/?linkid=870924
Comentario:
    Los valores asignados en estas casillas deben cifras completas a causa que no es posible medir el 0,5 de una acción, para eso se pone un % de avance de ellas en la columna "N" y se describe en la columna "X"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9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9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9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9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9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9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900-000007000000}">
      <text>
        <r>
          <rPr>
            <b/>
            <sz val="9"/>
            <color indexed="81"/>
            <rFont val="Tahoma"/>
            <family val="2"/>
          </rPr>
          <t>GUIDO ESCOBAR:</t>
        </r>
        <r>
          <rPr>
            <sz val="9"/>
            <color indexed="81"/>
            <rFont val="Tahoma"/>
            <family val="2"/>
          </rPr>
          <t xml:space="preserve">
Formato Porcentaje, 1 decimal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GUIDO ESCOBAR</author>
  </authors>
  <commentList>
    <comment ref="L5" authorId="0" shapeId="0" xr:uid="{00000000-0006-0000-0A00-000001000000}">
      <text>
        <r>
          <rPr>
            <b/>
            <sz val="9"/>
            <color indexed="81"/>
            <rFont val="Tahoma"/>
            <family val="2"/>
          </rPr>
          <t>GUIDO ESCOBAR:</t>
        </r>
        <r>
          <rPr>
            <sz val="9"/>
            <color indexed="81"/>
            <rFont val="Tahoma"/>
            <family val="2"/>
          </rPr>
          <t xml:space="preserve">
Formato Porcentaje, 1 decimal</t>
        </r>
      </text>
    </comment>
    <comment ref="N5" authorId="0" shapeId="0" xr:uid="{00000000-0006-0000-0A00-000002000000}">
      <text>
        <r>
          <rPr>
            <b/>
            <sz val="9"/>
            <color indexed="81"/>
            <rFont val="Tahoma"/>
            <family val="2"/>
          </rPr>
          <t>GUIDO ESCOBAR:</t>
        </r>
        <r>
          <rPr>
            <sz val="9"/>
            <color indexed="81"/>
            <rFont val="Tahoma"/>
            <family val="2"/>
          </rPr>
          <t xml:space="preserve">
Formato Porcentaje, 1 decimal</t>
        </r>
      </text>
    </comment>
    <comment ref="O5" authorId="0" shapeId="0" xr:uid="{00000000-0006-0000-0A00-000003000000}">
      <text>
        <r>
          <rPr>
            <b/>
            <sz val="9"/>
            <color indexed="81"/>
            <rFont val="Tahoma"/>
            <family val="2"/>
          </rPr>
          <t>GUIDO ESCOBAR:</t>
        </r>
        <r>
          <rPr>
            <sz val="9"/>
            <color indexed="81"/>
            <rFont val="Tahoma"/>
            <family val="2"/>
          </rPr>
          <t xml:space="preserve">
Formato Porcentaje, 1 decimal</t>
        </r>
      </text>
    </comment>
    <comment ref="R5" authorId="0" shapeId="0" xr:uid="{00000000-0006-0000-0A00-000004000000}">
      <text>
        <r>
          <rPr>
            <b/>
            <sz val="9"/>
            <color indexed="81"/>
            <rFont val="Tahoma"/>
            <family val="2"/>
          </rPr>
          <t>GUIDO ESCOBAR:</t>
        </r>
        <r>
          <rPr>
            <sz val="9"/>
            <color indexed="81"/>
            <rFont val="Tahoma"/>
            <family val="2"/>
          </rPr>
          <t xml:space="preserve">
Corresponde al valor del RPC</t>
        </r>
      </text>
    </comment>
    <comment ref="S5" authorId="0" shapeId="0" xr:uid="{00000000-0006-0000-0A00-000005000000}">
      <text>
        <r>
          <rPr>
            <b/>
            <sz val="9"/>
            <color indexed="81"/>
            <rFont val="Tahoma"/>
            <family val="2"/>
          </rPr>
          <t>GUIDO ESCOBAR:</t>
        </r>
        <r>
          <rPr>
            <sz val="9"/>
            <color indexed="81"/>
            <rFont val="Tahoma"/>
            <family val="2"/>
          </rPr>
          <t xml:space="preserve">
Corresponde a lo efectivamente pagado.</t>
        </r>
      </text>
    </comment>
    <comment ref="T5" authorId="0" shapeId="0" xr:uid="{00000000-0006-0000-0A00-000006000000}">
      <text>
        <r>
          <rPr>
            <b/>
            <sz val="9"/>
            <color indexed="81"/>
            <rFont val="Tahoma"/>
            <family val="2"/>
          </rPr>
          <t>GUIDO ESCOBAR:</t>
        </r>
        <r>
          <rPr>
            <sz val="9"/>
            <color indexed="81"/>
            <rFont val="Tahoma"/>
            <family val="2"/>
          </rPr>
          <t xml:space="preserve">
Formato Porcentaje, 1 decimal</t>
        </r>
      </text>
    </comment>
    <comment ref="U5" authorId="0" shapeId="0" xr:uid="{00000000-0006-0000-0A00-000007000000}">
      <text>
        <r>
          <rPr>
            <b/>
            <sz val="9"/>
            <color indexed="81"/>
            <rFont val="Tahoma"/>
            <family val="2"/>
          </rPr>
          <t>GUIDO ESCOBAR:</t>
        </r>
        <r>
          <rPr>
            <sz val="9"/>
            <color indexed="81"/>
            <rFont val="Tahoma"/>
            <family val="2"/>
          </rPr>
          <t xml:space="preserve">
Formato Porcentaje, 1 decimal</t>
        </r>
      </text>
    </comment>
  </commentList>
</comments>
</file>

<file path=xl/sharedStrings.xml><?xml version="1.0" encoding="utf-8"?>
<sst xmlns="http://schemas.openxmlformats.org/spreadsheetml/2006/main" count="10061" uniqueCount="5791">
  <si>
    <t>Explicación del avance o retraso</t>
  </si>
  <si>
    <t>Presupuesto inicial
(Pesos)</t>
  </si>
  <si>
    <t>Clasificación (BP)</t>
  </si>
  <si>
    <t>Clase</t>
  </si>
  <si>
    <t>Código general</t>
  </si>
  <si>
    <t>Vigencia:</t>
  </si>
  <si>
    <t>Día / Mes / Año (Inicio)</t>
  </si>
  <si>
    <t>Día / Mes / Año (Finali-zación)</t>
  </si>
  <si>
    <t>Meta de producto del proyecto (Descripción)</t>
  </si>
  <si>
    <t>Indicador de producto del proyecto (Descripción)</t>
  </si>
  <si>
    <t>Valor de la meta de producto del proyecto</t>
  </si>
  <si>
    <t>Ponderación producto
 (%)</t>
  </si>
  <si>
    <t xml:space="preserve">% de ejecución física de los productos del proyecto
</t>
  </si>
  <si>
    <t>Presupuesto definitivo
(Pesos)
(1)</t>
  </si>
  <si>
    <t>Presupuesto ejecutado
(Pesos)
(2)</t>
  </si>
  <si>
    <t>% de ejecución presupuestal
(2) / (1)</t>
  </si>
  <si>
    <t>Presupuesto pagos
(Pesos)
(3)</t>
  </si>
  <si>
    <t>Fecha de reporte:</t>
  </si>
  <si>
    <t>DEPARTAMENTO ADMINISTRATIVO DE PLANEACION</t>
  </si>
  <si>
    <t xml:space="preserve">Inicial              </t>
  </si>
  <si>
    <t xml:space="preserve">Definitivo      </t>
  </si>
  <si>
    <t>Ejecutado</t>
  </si>
  <si>
    <t>% ejecución</t>
  </si>
  <si>
    <t>TOTAL</t>
  </si>
  <si>
    <t>Parámetros velocímetro</t>
  </si>
  <si>
    <t>Título</t>
  </si>
  <si>
    <t>Segmento</t>
  </si>
  <si>
    <t>Grados1</t>
  </si>
  <si>
    <t>Puntos</t>
  </si>
  <si>
    <t>X</t>
  </si>
  <si>
    <t>Y</t>
  </si>
  <si>
    <t>Punto 1</t>
  </si>
  <si>
    <t>Punto 2</t>
  </si>
  <si>
    <t>Grados2</t>
  </si>
  <si>
    <t>Código</t>
  </si>
  <si>
    <t>Departamento Administrativo de Planeacion</t>
  </si>
  <si>
    <t>Proyectos</t>
  </si>
  <si>
    <t>% Ejecución física</t>
  </si>
  <si>
    <t>Pagos</t>
  </si>
  <si>
    <t>% pagos</t>
  </si>
  <si>
    <t>Grados3</t>
  </si>
  <si>
    <t>SECRETARÍA DE SALUD PÚBLICA</t>
  </si>
  <si>
    <t>DEPARTAMENTO ADMINISTRATIVO DE PLANEACIÓN</t>
  </si>
  <si>
    <t>SECRETARÍA DE EDUCACIÓN</t>
  </si>
  <si>
    <t>Pesos</t>
  </si>
  <si>
    <t>Total</t>
  </si>
  <si>
    <t>Ejecu-tado</t>
  </si>
  <si>
    <t>DEPARTAMENTO ADMINISTRATIVO DE GESTIÓN DEL MEDIO AMBIENTE</t>
  </si>
  <si>
    <t>SECRETARIA DE GESTIÓN DEL RIESGO DE EMERGENCIAS Y DESASTRES</t>
  </si>
  <si>
    <t>Secretaria de Deporte y Recreacion</t>
  </si>
  <si>
    <t>Secretaria de Educacion</t>
  </si>
  <si>
    <t>Presupuesto Administración Central</t>
  </si>
  <si>
    <t>DEPARTAMENTO ADMINISTRATIVO DE CONTROL INTERNO</t>
  </si>
  <si>
    <t>DEPARTAMENTO ADMINISTRATIVO CONTROL DISCIPLINARIO INTERNO</t>
  </si>
  <si>
    <t>DEPARTAMENTO ADMINISTRATIVO DE CONTRATACIÓN PÚBLICA</t>
  </si>
  <si>
    <t>Departamento Administrativo de Contratación Pública</t>
  </si>
  <si>
    <t>SECRETARIA DE MOVILIDAD</t>
  </si>
  <si>
    <t>SECRETARÍA DE  SEGURIDAD Y JUSTICIA</t>
  </si>
  <si>
    <t>SECRETARIA DE PAZ Y CULTURA CIUDADANA</t>
  </si>
  <si>
    <t>SECRETARIA DE TURISMO</t>
  </si>
  <si>
    <t>Secretaría de Turismo</t>
  </si>
  <si>
    <t>SECRETARÍA DE DESARROLLO TERRITORIAL Y PARTICIPACIÓN CIUDADANA</t>
  </si>
  <si>
    <t>Secretaria de Cultura</t>
  </si>
  <si>
    <t>Secretaria de Movilidad</t>
  </si>
  <si>
    <t>SECRETARÍA DE INFRAESTRUCTURA</t>
  </si>
  <si>
    <t>SECRETARÍA DE GOBIERNO</t>
  </si>
  <si>
    <t>Departamento Administrativo de TIC</t>
  </si>
  <si>
    <t>DEPARTAMENTO ADMINISTRATIVO DE GESTIÓN JURÍDICA PÚBLICA</t>
  </si>
  <si>
    <t>Departamento Administrativo de Gestión Jurídica Pública</t>
  </si>
  <si>
    <t>Fuente: Departamento Administrativo de Hacienda, Departamento Administrativo de Planeación y resto de Organismos</t>
  </si>
  <si>
    <t>Organismo</t>
  </si>
  <si>
    <t>Ejecución física, ejecución presupuestal y pagos según organismo, administración central</t>
  </si>
  <si>
    <t>% de avance del proyecto</t>
  </si>
  <si>
    <t>ORGANISMO</t>
  </si>
  <si>
    <t>Código organismo</t>
  </si>
  <si>
    <t xml:space="preserve">Meta a alcanzar Plan Indicativo
</t>
  </si>
  <si>
    <t>Organismo responsable
(Reparto administrativo)</t>
  </si>
  <si>
    <t>Unidad Administrativa Especial de Servicios Públicos</t>
  </si>
  <si>
    <t>Departamento Administrativo de Dllo. e Innovación I</t>
  </si>
  <si>
    <t>Unidad Admtiva Esp. de Gestión de Bienes y Servicios</t>
  </si>
  <si>
    <t>SECRETARÍA DE  CULTURA</t>
  </si>
  <si>
    <t>SECRETARIA DE BIENESTAR SOCIAL</t>
  </si>
  <si>
    <t>DEPARTAMENTO ADMINISTRATIVO DE  TECNOLOGÍAS DE LA INFORMACIÓN Y LAS COMUNICACIONES</t>
  </si>
  <si>
    <t>Secretaría de Gestión del Riesgo</t>
  </si>
  <si>
    <t>Secretaría de Paz y Cultura Ciudadana</t>
  </si>
  <si>
    <t>Departamento Administrativo de Control Interno</t>
  </si>
  <si>
    <t>Valor de la ejecución del producto del proyecto</t>
  </si>
  <si>
    <t>Secretaría de Dllo. Territorial y Participación Ciudadana</t>
  </si>
  <si>
    <t>Secretaría de Desarrollo Económico</t>
  </si>
  <si>
    <t>% de ejecución con pagos
(3) / (2)</t>
  </si>
  <si>
    <t>Santiago de Cali</t>
  </si>
  <si>
    <t>Secretaria de Seguridad y Justicia</t>
  </si>
  <si>
    <t>Indicador de resultado del proyecto (Descripción)</t>
  </si>
  <si>
    <t>Valor Indicador de resultado del proyecto</t>
  </si>
  <si>
    <t>Identificación de la dimensión, línea estratégica, programa, indicador y proyectos de inversión</t>
  </si>
  <si>
    <t>Secretaría de Gobierno</t>
  </si>
  <si>
    <t>Departamento Admtivo. de Control Disciplinario Interno</t>
  </si>
  <si>
    <t>Departamento Admtivo. Gestion Medio Ambiente</t>
  </si>
  <si>
    <t>Secretaria de Vivienda Social y Hábitat</t>
  </si>
  <si>
    <t xml:space="preserve">DEPARTAMENTO ADMINISTRATIVO DE HACIENDA </t>
  </si>
  <si>
    <t>D</t>
  </si>
  <si>
    <t>L</t>
  </si>
  <si>
    <t>P</t>
  </si>
  <si>
    <t>I</t>
  </si>
  <si>
    <t>Gobierno Inteligente</t>
  </si>
  <si>
    <t>Fortalecimiento Institucional</t>
  </si>
  <si>
    <t>Personas capacitadas</t>
  </si>
  <si>
    <t>Documentos de planeación realizados</t>
  </si>
  <si>
    <t xml:space="preserve">Cali, Gobierno Incluyente </t>
  </si>
  <si>
    <t>pr</t>
  </si>
  <si>
    <t>Documentos de lineamientos técnicos realizados</t>
  </si>
  <si>
    <t>Servicios de información actualizados</t>
  </si>
  <si>
    <t>Proyectos desfinanciados</t>
  </si>
  <si>
    <t>Avance físico</t>
  </si>
  <si>
    <t>Secretaria de Salud Publica</t>
  </si>
  <si>
    <t>Departamento Administrativo  de Hacienda</t>
  </si>
  <si>
    <t>Secretaria Bienestar Social</t>
  </si>
  <si>
    <t>Secretaria de Infraestructura</t>
  </si>
  <si>
    <t>Documentos de investigación realizados</t>
  </si>
  <si>
    <t>Proyectos con ejecución física en 0%</t>
  </si>
  <si>
    <t>Transición hacia Distrito Especial</t>
  </si>
  <si>
    <t>Entidades, organismos y dependencias asistidos técnicamente</t>
  </si>
  <si>
    <t>Documentos metodológicos realizados</t>
  </si>
  <si>
    <t>Elaborar 1 documento de investigación</t>
  </si>
  <si>
    <t>Documentos de investigación elaborados</t>
  </si>
  <si>
    <t>Sistemas de información implementados</t>
  </si>
  <si>
    <t>E</t>
  </si>
  <si>
    <t>Servidores públicos sensibilizados en el fomento de la cultura del autocontrol.</t>
  </si>
  <si>
    <t>Servidores públicos sensibilizados en el fomento de la cultura del autocontrol</t>
  </si>
  <si>
    <t xml:space="preserve">Capacitar 400 personas en el fomento de la cultura del autocontrol </t>
  </si>
  <si>
    <t xml:space="preserve">personas capacitadas </t>
  </si>
  <si>
    <t>Departamento administrativo de Control Interno</t>
  </si>
  <si>
    <t xml:space="preserve">organismos asistidos </t>
  </si>
  <si>
    <t>Proyectos con ejecución fisica en 0 %</t>
  </si>
  <si>
    <t xml:space="preserve">Cali, Inteligente para la Vida </t>
  </si>
  <si>
    <t xml:space="preserve">Territorio Inteligente </t>
  </si>
  <si>
    <t xml:space="preserve">Cali Inteligente </t>
  </si>
  <si>
    <t>Mobiliario urbano instalado con mantenimiento y reposición</t>
  </si>
  <si>
    <t>BP26003392</t>
  </si>
  <si>
    <t>Mejoramiento de mobiliarios urbanos con mantenimiento y reposicion en Santiago de Cali</t>
  </si>
  <si>
    <t xml:space="preserve">Espacio publico adecuado  </t>
  </si>
  <si>
    <t>Departamento Administrativo de Planeación - Subdirección de Espacio Público y Ordenamiento Urbanístico</t>
  </si>
  <si>
    <t xml:space="preserve">Procesos y trámites urbanísticos automatizados </t>
  </si>
  <si>
    <t>BP26003447</t>
  </si>
  <si>
    <t>Servicios tecnológicos. (Desarollar 1 sistema integral de automatización de información urbanística.)</t>
  </si>
  <si>
    <t>Índice de capacidad en la prestación de servcios de tecnología</t>
  </si>
  <si>
    <t>Procesos y trámites urbanísticos automatizados</t>
  </si>
  <si>
    <t xml:space="preserve">Implementar 1 Servicio de información </t>
  </si>
  <si>
    <t>Cali, Solidaria por la Vida</t>
  </si>
  <si>
    <t>Territorios para la Vida</t>
  </si>
  <si>
    <t>Espacio Público para la Integración Socio-Ecológica</t>
  </si>
  <si>
    <t>Intervenciones de espacio público diseñadas</t>
  </si>
  <si>
    <t>Estudios o diseños realizados</t>
  </si>
  <si>
    <t xml:space="preserve">Plan Maestro de Espacio Público - PMEP ajustado y adoptado </t>
  </si>
  <si>
    <t>BP26003448</t>
  </si>
  <si>
    <t>Departamento Administrativo de Planeación Municipal - Subdirección de Planificación del Territorio</t>
  </si>
  <si>
    <t>Documentos de lineamientos técnicos elaborados</t>
  </si>
  <si>
    <t>Inventario de publicidad exterior visual actualizado y mantenido</t>
  </si>
  <si>
    <t>BP26003396</t>
  </si>
  <si>
    <t>Inventario de la publicidad Exterior visual de Santiago de Cali</t>
  </si>
  <si>
    <t>Bases de datos de la Temática de Servicios Generadas</t>
  </si>
  <si>
    <t>Equipamientos para el Desarrollo y el Bienestar</t>
  </si>
  <si>
    <t xml:space="preserve">Plan Maestro de Equipamientos ajustado y adoptado </t>
  </si>
  <si>
    <t>Asistencia tecnica para la instrumentación del sistema de Equipamientos en Santiago de cali</t>
  </si>
  <si>
    <t>BP26003450</t>
  </si>
  <si>
    <t>Prestación de Servicios Públicos Domiciliarios</t>
  </si>
  <si>
    <t xml:space="preserve">Plan Maestro de Servicios Públicos Domiciliarios y TIC formulado y adoptado </t>
  </si>
  <si>
    <t>Formulacion Plan Director de Servicios Públicos Domiciliarios y TIC de Cali</t>
  </si>
  <si>
    <t>BP26003397</t>
  </si>
  <si>
    <t>Plan Maestro de Servicios Públicos Domiciliarios y TIC formulado y adoptado</t>
  </si>
  <si>
    <t>Documentos de lineamientos tecnicos elaborados</t>
  </si>
  <si>
    <t>Salvaguarda y Protección del Patrimonio Cultural</t>
  </si>
  <si>
    <t>Actualización del inventario de bienes de interés cultural (BIC) de Santiago de cali</t>
  </si>
  <si>
    <t>BP26003451</t>
  </si>
  <si>
    <t>Documentos normativos realizados</t>
  </si>
  <si>
    <t>Cali, por Nuestra Casa Común</t>
  </si>
  <si>
    <t xml:space="preserve">Mitigación del Cambio Climático </t>
  </si>
  <si>
    <t xml:space="preserve">Gestión Integral de Residuos Sólidos </t>
  </si>
  <si>
    <t>Estudios para la planificación de la gestión integral de residuos sólidos, la prestación del servicio público de aseo y sus actividades complementarias elaborados</t>
  </si>
  <si>
    <t>Fortalecimiento de la Planificación de la Gestión Integral de Residuos Sólidos de Santiago de Cali</t>
  </si>
  <si>
    <t>BP26003405</t>
  </si>
  <si>
    <t>Movilidad Multimodal Sustentable</t>
  </si>
  <si>
    <t>Regulación, Control y Gestión Inteligente del Tránsito</t>
  </si>
  <si>
    <t xml:space="preserve">Planes especiales zonales de gestión del estacionamiento formulados </t>
  </si>
  <si>
    <t>Consolidación del modelo de movilidad sostenible en Santiago de Cali.</t>
  </si>
  <si>
    <t>BP26003413</t>
  </si>
  <si>
    <t>Planes especiales zonales de gestión del estacionamiento formulados</t>
  </si>
  <si>
    <t>Cali, Gobierno Incluyente</t>
  </si>
  <si>
    <t>Implementación de Cali Distrito</t>
  </si>
  <si>
    <t>BP26003416</t>
  </si>
  <si>
    <t>Unidades de planificación urbana y rural formuladas y adoptadas</t>
  </si>
  <si>
    <t>Formulación de las unidades de planificación urbana y rural de Santiago de Cali</t>
  </si>
  <si>
    <t>BP26003418</t>
  </si>
  <si>
    <t>Documentos de planeación elaborados</t>
  </si>
  <si>
    <t>Departamento Administrativo de Planeación - Subdirección de Desarrollo Integral</t>
  </si>
  <si>
    <t>Planes de Desarrollo de nivel territorial y distrital con seguimiento y evaluación</t>
  </si>
  <si>
    <t>Fortalecimiento al seguimiento de los Planes de Desarrollo Distrital y Territoriales de Santiago de Cali</t>
  </si>
  <si>
    <t>BP26003422</t>
  </si>
  <si>
    <t>Documento de política elaborados</t>
  </si>
  <si>
    <t>Políticas públicas, evaluadas</t>
  </si>
  <si>
    <t>Asistencia para el seguimiento y evaluación de los procesos de políticas públicas de Cali</t>
  </si>
  <si>
    <t>BP26003458</t>
  </si>
  <si>
    <t>Solicitudes de encuesta Sisbén, atendidas</t>
  </si>
  <si>
    <t>Apoyo al sistema de identificación de potenciales beneficiarios de programas sociales - sisbén en Santiago de Cali</t>
  </si>
  <si>
    <t>BP26002520</t>
  </si>
  <si>
    <t>Hogares que realizaron la encuesta</t>
  </si>
  <si>
    <t>Sistemas de información actualizados</t>
  </si>
  <si>
    <t>Archivo Municipal de Datos, actualizado</t>
  </si>
  <si>
    <t>Implementación del Plan Estadístico Territorial de Cali</t>
  </si>
  <si>
    <t>BP26003425</t>
  </si>
  <si>
    <t>Elaborar 3 documentos metodológicos</t>
  </si>
  <si>
    <t>Elaborar 1 documento de lineamiento técnico</t>
  </si>
  <si>
    <t>Sistema de Indicadores Sociales actualizado</t>
  </si>
  <si>
    <t>Actualización del Sistema de Indicadores de Santiago de Cali</t>
  </si>
  <si>
    <t>BP26003423</t>
  </si>
  <si>
    <t>Actualizar 1 sistema de informaciòn (Actualizar el 100% de los indicadores)</t>
  </si>
  <si>
    <t xml:space="preserve">Documentos con estadísticas básicas del Distrito, publicados </t>
  </si>
  <si>
    <t>Actualización de Estudios para la Planificación en Cali</t>
  </si>
  <si>
    <t>BP26003463</t>
  </si>
  <si>
    <t>Actualizar las cuentas económicas municipales de Cali</t>
  </si>
  <si>
    <t xml:space="preserve">Boletines Técnicos de la Temática Cuentas Nacionales producidos </t>
  </si>
  <si>
    <t xml:space="preserve">Boletines Técnicos de la Temática Demografía y Población producidos </t>
  </si>
  <si>
    <t>Documentos metodológicos elaborados</t>
  </si>
  <si>
    <t>Base de datos de Estratificación urbana y rural actualizada</t>
  </si>
  <si>
    <t>Actualización de la estratificación socioeconómica en Santiago de Cali</t>
  </si>
  <si>
    <t>BP26003429</t>
  </si>
  <si>
    <t>Actualizar 1 base de datos (100%) de Estratificación urbana y rural</t>
  </si>
  <si>
    <t>Base de datos del censo de Población y Vivienda Producidas</t>
  </si>
  <si>
    <t>Elaborar 200 documentos de lineamientos técnicos</t>
  </si>
  <si>
    <t xml:space="preserve">Documentos de lineamientos técnicos realizados </t>
  </si>
  <si>
    <t>Registros de la base de datos de Nomenclatura de Cali actualizados</t>
  </si>
  <si>
    <t>Actualización de los registros de la base de datos de nomenclatura Cali</t>
  </si>
  <si>
    <t>BP26003431</t>
  </si>
  <si>
    <t>Sistemas de Información Actualizados</t>
  </si>
  <si>
    <t>Fortalecimiento de la infraestructura de datos espaciales de Santiago de Cali</t>
  </si>
  <si>
    <t>BP26003464</t>
  </si>
  <si>
    <t>Servicios Web Geográficos y Productos de Información Geográfica en la plataforma tecnológica de la Infraestructura de Datos Espaciales de Santiago de Cali - IDESC disponibles.</t>
  </si>
  <si>
    <t>Número de sistemas de información</t>
  </si>
  <si>
    <t xml:space="preserve">Estudios de preinversión de proyectos estratégicos del plan de desarrollo elaborados </t>
  </si>
  <si>
    <t>Fortalecimiento en la estructuración de proyectos de inversión en Santiago de Cali</t>
  </si>
  <si>
    <t>Sistema de la Información y la Infraestructura Tecnológica</t>
  </si>
  <si>
    <t>Sistema de información actualizado</t>
  </si>
  <si>
    <t>Sistema de información de control urbanístico implementado y mantenido</t>
  </si>
  <si>
    <t>Implementación del Sistema de información geográfico de control de licencias urbanísticas de Cali</t>
  </si>
  <si>
    <t>BP26003470</t>
  </si>
  <si>
    <t>Implementar 1 sistema de información. (Construir un sistema de clasificación, organización y seguimiento de áreas de espacio público (cedido y adecuado) resultantes de las licencias urbanísticas expedidas.)</t>
  </si>
  <si>
    <t>Sistema de información implementado</t>
  </si>
  <si>
    <t>Actualizar 1 Servicio de información.(Articular los organismos que manejan información sobre el cumplimiento de obligaciones urbanísticas impuestas en las licencias de urbanización.)</t>
  </si>
  <si>
    <t xml:space="preserve">Fortalecimiento y Gestión de los Socioecosistemas </t>
  </si>
  <si>
    <t>Gobernanza, Gobernabilidad y Cultura Ambienta</t>
  </si>
  <si>
    <t>Centro de Promoción del Bienestar Animal Construido</t>
  </si>
  <si>
    <t xml:space="preserve"> </t>
  </si>
  <si>
    <t>Gestión del Riesgo</t>
  </si>
  <si>
    <t>Personas Capacitadas</t>
  </si>
  <si>
    <t xml:space="preserve"> Personas capacitadas</t>
  </si>
  <si>
    <t>ORGANISMO:</t>
  </si>
  <si>
    <t>Día / Mes / Año (Finalización)</t>
  </si>
  <si>
    <t>Explicación del avance o retraso con corte al 31 de marzo de 2022</t>
  </si>
  <si>
    <t>SECRETARIA DE VIVIENDA SOCIAL Y HABITAT</t>
  </si>
  <si>
    <t>Identificación de la dimensión,  línea estratégica, programa, indicador y proyectos de inversión</t>
  </si>
  <si>
    <t>Meta a alcanzar Plan Indicativo</t>
  </si>
  <si>
    <t>Día / Mes/ Año (Inicio)</t>
  </si>
  <si>
    <t>Explicación del avance o retraso a febrero</t>
  </si>
  <si>
    <t>SECRETARÍA DEL DEPORTE Y LA RECREACIÓN</t>
  </si>
  <si>
    <t>Identificación del eje , componente, programa, indicador y proyectos de inversión</t>
  </si>
  <si>
    <t>UNIDAD ADMINISTRATIVA ESPECIAL DE GESTIÓN DE BIENES Y SERVICIOS</t>
  </si>
  <si>
    <t>Documentos de revisión y ajuste del POT elaborados</t>
  </si>
  <si>
    <t>Actualización del plan de ordenamiento territorial de Santiago de Cali</t>
  </si>
  <si>
    <t>BP26002493</t>
  </si>
  <si>
    <t>SECRETARÍA DE DESARROLLO ECONÓMICO</t>
  </si>
  <si>
    <t>DEPARTAMENTO ADMINISTRATIVO DE DESARROLLO E INNOVACIÓN INSTITUCIONAL</t>
  </si>
  <si>
    <t>BP2600339210101</t>
  </si>
  <si>
    <t>BP2600344710201</t>
  </si>
  <si>
    <t>BP2600344710202</t>
  </si>
  <si>
    <t>BP2600344810201</t>
  </si>
  <si>
    <t>BP2600339610101</t>
  </si>
  <si>
    <t>BP2600345010201</t>
  </si>
  <si>
    <t>BP2600339710201</t>
  </si>
  <si>
    <t>BP2600345110101</t>
  </si>
  <si>
    <t>BP2600340510101</t>
  </si>
  <si>
    <t>BP2600341310201</t>
  </si>
  <si>
    <t>BP2600341310301</t>
  </si>
  <si>
    <t>BP2600341610102</t>
  </si>
  <si>
    <t>BP2600249310101</t>
  </si>
  <si>
    <t>BP2600341810201</t>
  </si>
  <si>
    <t>BP2600342210101</t>
  </si>
  <si>
    <t>BP2600342210201</t>
  </si>
  <si>
    <t>BP2600345810301</t>
  </si>
  <si>
    <t>BP2600252010101</t>
  </si>
  <si>
    <t>BP2600252010201</t>
  </si>
  <si>
    <t>BP2600342510101</t>
  </si>
  <si>
    <t>BP2600342510202</t>
  </si>
  <si>
    <t>BP2600342510301</t>
  </si>
  <si>
    <t>BP2600342510401</t>
  </si>
  <si>
    <t>BP2600342310101</t>
  </si>
  <si>
    <t>BP2600342310201</t>
  </si>
  <si>
    <t>BP2600342310301</t>
  </si>
  <si>
    <t>BP2600346310101</t>
  </si>
  <si>
    <t>BP2600346310102</t>
  </si>
  <si>
    <t>BP2600346310201</t>
  </si>
  <si>
    <t>BP2600342910101</t>
  </si>
  <si>
    <t>BP2600342910201</t>
  </si>
  <si>
    <t>BP2600343110101</t>
  </si>
  <si>
    <t>BP2600346410101</t>
  </si>
  <si>
    <t>BP2600347010101</t>
  </si>
  <si>
    <t>BP2600347010201</t>
  </si>
  <si>
    <t>UNIDAD ADMINISTRATIVA ESPECIAL DE SERVICIOS PÚBLICOS</t>
  </si>
  <si>
    <t>Fortalecimiento de la cultura del control en los procesos del distrito de Santiago de Cali</t>
  </si>
  <si>
    <t>BP26004371</t>
  </si>
  <si>
    <t>Adecuar 1,500 espacios públicos (Realizar mantenimiento y reposición a 1.500 mobiliarios urbanos )</t>
  </si>
  <si>
    <t xml:space="preserve">	
Apoyo en la automatización   de procesos y tramites urbanísticos en Santiago de Calí</t>
  </si>
  <si>
    <t>Asistencia tecnica para la instrumentación del distema de espacio Público de Santiago de cali</t>
  </si>
  <si>
    <t>Elaborar  2 Documento de lineamientos técnicos (1-documento técnico diagnostico,2-documento técnico de formulación)</t>
  </si>
  <si>
    <t>Generar 1 base de datos de la Temática de Servicios (Genera 1 base de datos de Publicidad Exterior Visual de Cali)</t>
  </si>
  <si>
    <t>Planes Especiales de Manejo y Protección Galería Santa Elena y San Antonio laborados</t>
  </si>
  <si>
    <t>Planes Especiales de Manejo y Protección Galeria Santa Elena y San Antocio Elaborados</t>
  </si>
  <si>
    <t>Inventario de bienes de interés cultural, material, BIC actualizado y registrado en el SIPA</t>
  </si>
  <si>
    <t>Actualizar el inventario de Bienes de Interés Cultural material BIC</t>
  </si>
  <si>
    <t>Elaborar 1 documento de planeación con seguimiento (Evaluar 1 Plan de Gestión Integral de Residuos Sólidos - PGIRS de Santiago de Cali)</t>
  </si>
  <si>
    <t>Realizar  documento normativo realizados</t>
  </si>
  <si>
    <t>Realizar documentos de planeación  realizados</t>
  </si>
  <si>
    <t>Conocimiento del Riesgo</t>
  </si>
  <si>
    <t>Estudios de riesgo de desastres elaborados</t>
  </si>
  <si>
    <t>Estudios básicos y detallados sobre movimientos en masa ajustados</t>
  </si>
  <si>
    <t>Estudios de amenazas, vulnerabilidades y riesgos por movimientos en masa en la zona de ladera urbana y rural de Cali</t>
  </si>
  <si>
    <t>BP26003406</t>
  </si>
  <si>
    <t>BP2600340610301</t>
  </si>
  <si>
    <t>Realizar 470 documentos normativos (Elaborar 470 conceptos sobre condiciones de amenaza o riesgo)</t>
  </si>
  <si>
    <t xml:space="preserve">Modelo de división político-administrativa del Distrito Especial revisado y adoptado </t>
  </si>
  <si>
    <t>Asistencia para la definicion del modelo de integración polìtico administrativo en localidades del distrito especial de Santiago de Cali</t>
  </si>
  <si>
    <t xml:space="preserve">Gestión de información estadística y geográfica para la evaluación de resultados </t>
  </si>
  <si>
    <t>BP2600345810101</t>
  </si>
  <si>
    <t>BP2600345810201</t>
  </si>
  <si>
    <t>Personas capacitadas: se desarrolla asistencia técnica a los equipos de los organismos Formuladores y Coordinadores de Política Pública en el proceso de formulación de planes de acción e indicadores de corto, mediano y largo plazo, o indicadores de producto, resultado e impacto</t>
  </si>
  <si>
    <t>Actualizar 1 sistema de información.(Operación y administración del sisben.)</t>
  </si>
  <si>
    <t>Elaborar 10 documentos de investigación (Registros administrativos)</t>
  </si>
  <si>
    <t>Documentos con estadísticas básicas del Distrito publicados</t>
  </si>
  <si>
    <t>Elaborar 1 Boletin Técnico de la Temática Demografía y Población (Elaborar Documento con Estadisticas básicas del distrito)</t>
  </si>
  <si>
    <t>BP2600346310103</t>
  </si>
  <si>
    <t>Documentos de estudios potcensales temáticas demográficas y poblacionales producidos</t>
  </si>
  <si>
    <t>Elaborar 2 documentos metodológicos (Publicar 2 documentos)</t>
  </si>
  <si>
    <t>Actualizar 1 Servicio de Información (Actualizar el 100% de la BD de la  nomenclatura vial y domiciliaria de Cali)</t>
  </si>
  <si>
    <t xml:space="preserve">Servicios Web Geográficos y productos de información geográfica en la plataforma tecnológica de la Infraestructura de Datos Espaciales de Santiago de Cali – IDESC disponibles </t>
  </si>
  <si>
    <t>Aumentar en 88 el numero de Servicio web geograficos de información geográfica, geodésica y cartográfica.</t>
  </si>
  <si>
    <t>Unidad Administrativa Especial de Protección Animal</t>
  </si>
  <si>
    <t>BP2600437110101</t>
  </si>
  <si>
    <t>BP2600437110201</t>
  </si>
  <si>
    <t>BP26004541</t>
  </si>
  <si>
    <t>BP2600454110101</t>
  </si>
  <si>
    <t>Definir un marco normativo que oriente el desarrollo urbano de la  Galería Santa Elena y su correspondiente área de influencia, que permitan orientar las transformaciones de inmuebles como una posibilidad para su conservación en el ámbito de la aplicación del PEMP</t>
  </si>
  <si>
    <t>Instrumentos de planificación complementaria del plan de ordenamiento territorial, formulados y divulgados</t>
  </si>
  <si>
    <t>Asistencia técnica a los instrumentos de planificación complementarios de Cali</t>
  </si>
  <si>
    <t>BP26003417</t>
  </si>
  <si>
    <t>BP2600341710101</t>
  </si>
  <si>
    <t>Consolidación del Centro de Promoción del Bienestar Animal de Santiago de Cali.</t>
  </si>
  <si>
    <t>BP26004610</t>
  </si>
  <si>
    <t>BP2600461010101</t>
  </si>
  <si>
    <t>Centro de Promoción del Bienestar Animal
con atención integral</t>
  </si>
  <si>
    <t>Infraestructura para el bienestar animal adecuada</t>
  </si>
  <si>
    <t>UAEPA
(Unidad Administrativa Especial de Protección Animal).</t>
  </si>
  <si>
    <t>BP2600461010201</t>
  </si>
  <si>
    <t>Animales atendidos en el coso municipal</t>
  </si>
  <si>
    <t>BP2600461010301</t>
  </si>
  <si>
    <t>Animales atendidos</t>
  </si>
  <si>
    <t>BP2600461010401</t>
  </si>
  <si>
    <t>UNIDAD ADMINISTRATIVA ESPECIAL DE PROTECCIÓN ANIMAL</t>
  </si>
  <si>
    <t xml:space="preserve">
Diseño urbano, arquitectónico y paisajístico de espacios públicos a intervenir  en el Distrito Santiago de   Cali</t>
  </si>
  <si>
    <t>BP26004860</t>
  </si>
  <si>
    <t>BP2600486010101</t>
  </si>
  <si>
    <t>Realizar 40 estudios o diseños (Diseñar 40 intervenciones de espacio público)</t>
  </si>
  <si>
    <t xml:space="preserve">Elaborar 1 Documento de lineamientos técnicos. </t>
  </si>
  <si>
    <t xml:space="preserve">Elaborar 1 documento de lineamientos técnicos. </t>
  </si>
  <si>
    <t>BP2600339710301</t>
  </si>
  <si>
    <t>Documentos de planeación</t>
  </si>
  <si>
    <t>Documentos de planeacion elaborados</t>
  </si>
  <si>
    <t>ormulación Del Plan Especial de Manejo y Protección - PEMP y sus estudios complementarios de la Plaza de Mercado de Santa Elena y su</t>
  </si>
  <si>
    <t>Elaborar 40 Documentos normativos</t>
  </si>
  <si>
    <t>BP2600345110102</t>
  </si>
  <si>
    <t>Elaborar 1 Documento de investigación realizado</t>
  </si>
  <si>
    <t>BP2600341310101</t>
  </si>
  <si>
    <t>Elaborar documentos de evaluación</t>
  </si>
  <si>
    <t>Realizar documentos de evaluación elaborados</t>
  </si>
  <si>
    <t>Elaborar 1 documento normativo</t>
  </si>
  <si>
    <t>Elaborar 1 Documentos de planeación</t>
  </si>
  <si>
    <t>BP2600340610101</t>
  </si>
  <si>
    <t>Estudios de riesgo de desastres</t>
  </si>
  <si>
    <t>BP2600341610101</t>
  </si>
  <si>
    <t>Realizar 1 Documentos de lineamientos técnicos</t>
  </si>
  <si>
    <t xml:space="preserve">Elaborar 1 Documento metodológicos </t>
  </si>
  <si>
    <t>BP2600341610201</t>
  </si>
  <si>
    <t>Realizar Documentos normativos realizados</t>
  </si>
  <si>
    <t>Asistencia para la definición de apuestas estratégicas para potenciar las vocaciones del Distrito Especial, Deportivo, Cultura</t>
  </si>
  <si>
    <t>BP26004864</t>
  </si>
  <si>
    <t>BP2600486410101</t>
  </si>
  <si>
    <t>Elaborar  2 documentos de reglamentaciones normativas</t>
  </si>
  <si>
    <t>BP2600341810101</t>
  </si>
  <si>
    <t>Elaboración de instrumentos para el desarrollo urbano y territorial</t>
  </si>
  <si>
    <t>Instrumentos normativos formulados</t>
  </si>
  <si>
    <t>1 documento de proyecto de acuerdo de las unidades de planificación rural y 3 fichas reglamentarias de programas y proyectos propuestos para las unidades de planificación rural</t>
  </si>
  <si>
    <t>BP2600341810301</t>
  </si>
  <si>
    <t>1 Documentos de lineamientos técnicos  elaborados</t>
  </si>
  <si>
    <t>Documentos de lineamientos técnicos  elaborados</t>
  </si>
  <si>
    <t>Asistir 31 organismos y dependencias tecnicamente</t>
  </si>
  <si>
    <t xml:space="preserve">Realizar seguimiento y evaluación a 38 Planes de Desarrollo de nivel territorial y distrital </t>
  </si>
  <si>
    <t>Apoyo al proceso de planificación en el Distrito de Santiago  Cali</t>
  </si>
  <si>
    <t>BP26004863</t>
  </si>
  <si>
    <t>BP2600486310101</t>
  </si>
  <si>
    <t>Formular instrumentos de planificación.</t>
  </si>
  <si>
    <t xml:space="preserve">Documentos de planeación realizados
</t>
  </si>
  <si>
    <t>BP2600486310201</t>
  </si>
  <si>
    <t>Asistir 67 organismos y dependencias tecnicamente</t>
  </si>
  <si>
    <t xml:space="preserve">Entidades, organismos y dependencias asistidos técnicamente
</t>
  </si>
  <si>
    <t>Realizar 2 documentos metodológicos</t>
  </si>
  <si>
    <t>Actualizar 2 sistemas de información (actualizar las OOEE y el AMDA)</t>
  </si>
  <si>
    <t xml:space="preserve">Realizar 4 capacitaciones. </t>
  </si>
  <si>
    <t>Documentos de estudios potcensales temáticas demográficas y poblacionales (Proyecciones de población)</t>
  </si>
  <si>
    <t>BP26004865</t>
  </si>
  <si>
    <t>BP2600486510101</t>
  </si>
  <si>
    <t>Elaborar 2 documentos de planeación</t>
  </si>
  <si>
    <t>Documento de planeación realizados</t>
  </si>
  <si>
    <t>A la fecha, Se realizó la incorporación de datos del Sistema de Información Geográfico SIG-CLU, de licencias urbanísticas que se han estado investigando.</t>
  </si>
  <si>
    <t xml:space="preserve">Modelo de prevención del Daño Antijurídico operando  </t>
  </si>
  <si>
    <t>Implementación del modelo de prevención del daño antijurídico de Santiago de Cali</t>
  </si>
  <si>
    <t>BP26002785</t>
  </si>
  <si>
    <t>Departamento Administrativo de Gestión Jurídica Pública - Subdirección de Defensa Judicial y Prevención del Daño Antijurídico</t>
  </si>
  <si>
    <t>BP2600278510101</t>
  </si>
  <si>
    <t>Realizar 3 informe del servicio de información en materia de defensa jurídica</t>
  </si>
  <si>
    <t>Reportes e informes realizados</t>
  </si>
  <si>
    <t>BP2600278510201</t>
  </si>
  <si>
    <t>Capacitar 150 personas en Servicio de educación informal en los componentes del ciclo de defensa jurídica del Estado</t>
  </si>
  <si>
    <t>BP2600278510301</t>
  </si>
  <si>
    <t>Realizar 3 documentos de planeación</t>
  </si>
  <si>
    <t>BP2600278510401</t>
  </si>
  <si>
    <t>Modelo de Prevención del daño antijurídico
operando</t>
  </si>
  <si>
    <t>Realizar 1 documento de lineamientos técnicos</t>
  </si>
  <si>
    <t>Sistemas de la información y la infraestructura tecnológica</t>
  </si>
  <si>
    <t xml:space="preserve">Modelo predictivo de fallos judiciales contra la entidad, implementado  </t>
  </si>
  <si>
    <t>Implementación del modelo predictivo de fallos judiciales en contra de Santiago de Cali</t>
  </si>
  <si>
    <t>BP26002784</t>
  </si>
  <si>
    <t>Departamento Administrativo de Gestión Jurídica Pública - Subdirección de Doctrina y Asuntos Normativos</t>
  </si>
  <si>
    <t>BP2600278410101</t>
  </si>
  <si>
    <t>Implementar 1 servicio de información</t>
  </si>
  <si>
    <t>Servicios de información implementados</t>
  </si>
  <si>
    <t>BP2600278410201</t>
  </si>
  <si>
    <t>Actualizar 2 servicios de información</t>
  </si>
  <si>
    <t>BP2600278410301</t>
  </si>
  <si>
    <t>Modelo predictivo de fallos judiciales contra
la entidad, implementado</t>
  </si>
  <si>
    <t>Realizar 1 documento de investigación</t>
  </si>
  <si>
    <t>Cali, Gobierno incluyente</t>
  </si>
  <si>
    <t>Cooperación Técnica para el Desarrollo Distrital</t>
  </si>
  <si>
    <t>Modelo de Agencia de Cooperación Técnica implementada</t>
  </si>
  <si>
    <t>Pr</t>
  </si>
  <si>
    <t xml:space="preserve">Implementación de un modelo de agencia de cooperación en Santiago de  Cali </t>
  </si>
  <si>
    <t>BP26002678</t>
  </si>
  <si>
    <t>BP2600267810201</t>
  </si>
  <si>
    <t>Elaborar 1 documento de Política</t>
  </si>
  <si>
    <t>Documentos de política elaborados</t>
  </si>
  <si>
    <t xml:space="preserve">Secretaría de Gobierno </t>
  </si>
  <si>
    <t>Iniciativas frente a problemáticas priorizadas, co-creadas</t>
  </si>
  <si>
    <t>Implementación de iniciativas institucionales para enfrentar problemáticas de manera colaborativa en Santiago de Cali</t>
  </si>
  <si>
    <t>BP26003110</t>
  </si>
  <si>
    <t>BP2600311010101</t>
  </si>
  <si>
    <t>Generar 1 espacio de integración de oferta pública
(1 jornada de integración de oferta pública)</t>
  </si>
  <si>
    <t>Espacios de integración de oferta pública generados.</t>
  </si>
  <si>
    <t>BP2600311010201</t>
  </si>
  <si>
    <t>Realizar 3 documentos metodológicos 
(Realizar 3 Iniciativas co-creadas con la ciudadanía)</t>
  </si>
  <si>
    <t xml:space="preserve">Iniciativas colaborativas para seguimiento a problemas específicos, realizadas </t>
  </si>
  <si>
    <t>Implementación de iniciativas colaborativas para seguimiento a problemas específicos en Santiago de Cali</t>
  </si>
  <si>
    <t>BP26003111</t>
  </si>
  <si>
    <t>BP2600311110101</t>
  </si>
  <si>
    <t xml:space="preserve">Asistir técnicamente 5 entidades, organismos y/o dependencias 
</t>
  </si>
  <si>
    <t>BP2600311110201</t>
  </si>
  <si>
    <t>Realizar 3 documentos metodológicos
(Iniciativas colaborativas)</t>
  </si>
  <si>
    <t>Red de gestión de información y del conocimiento diseñado y operado</t>
  </si>
  <si>
    <t>Implementación red de observatorios de Santiago de Cali</t>
  </si>
  <si>
    <t>BP26003105</t>
  </si>
  <si>
    <t>BP2600310510101</t>
  </si>
  <si>
    <t>Asistir técnicamente 1 entidades, organismos y/o dependencias 
(Fortalecimiento de capacidades para el análisis de problemáticas priorizadas)</t>
  </si>
  <si>
    <t>BP2600310510201</t>
  </si>
  <si>
    <t>Elaborar 1 documento de investigación 
(Sistematización de la experiencia de operación de la Red)</t>
  </si>
  <si>
    <t>Ciudadanía Activa y Gobernanza</t>
  </si>
  <si>
    <t>Ciudadanía Empoderada</t>
  </si>
  <si>
    <t>Red de agentes institucionales con un plan específico para buen gobierno, abierto a la ciudadanía; operando</t>
  </si>
  <si>
    <t>Implementación de la escuela de buen gobierno en Cali</t>
  </si>
  <si>
    <t>BP26003102</t>
  </si>
  <si>
    <t>BP2600310210201</t>
  </si>
  <si>
    <t>Estrategia de Comunicación clara y transparente, implementada</t>
  </si>
  <si>
    <t xml:space="preserve">Implementación de estrategia de comunicación institucional clara y transparente en Santiago de Cali </t>
  </si>
  <si>
    <t>BP26003011</t>
  </si>
  <si>
    <t>BP2600301110101</t>
  </si>
  <si>
    <t>Realizar 1 documento de planeación
(Plan estratégico de comunicación y su ejecución desde la entidad)</t>
  </si>
  <si>
    <t>BP2600301110201</t>
  </si>
  <si>
    <t>Implementar 1 sistema de información
(Desarrollar acciones del plan de comunicación a nivel externo)</t>
  </si>
  <si>
    <t>Cultura Ciudadana</t>
  </si>
  <si>
    <t>Iniciativas institucionales y comunitarias en cultura cíudadana y promoción de nuevas normalidades apoyadas</t>
  </si>
  <si>
    <t>Desarrollo de una estrategia de articulación institucional para implementar iniciativas que dinamicen la cultura ciudadana para asumir la nueva normalidad en Cali.</t>
  </si>
  <si>
    <t>BP26003247</t>
  </si>
  <si>
    <t>BP2600324710101</t>
  </si>
  <si>
    <t>Documentos de lineamientos técnicos realizados.</t>
  </si>
  <si>
    <t>BP2600324710201</t>
  </si>
  <si>
    <t>Iniciativas institucionales y comunitarias en cultura ciudadana y promoción de nuevas normalidades apoyadas</t>
  </si>
  <si>
    <t xml:space="preserve">Asistir técnicamente 1 Instancia territorial para el apoyo a 21 iniciativas institucionales y comunitarias </t>
  </si>
  <si>
    <t>Instancias territoriales asistidas técnicamente</t>
  </si>
  <si>
    <t>Avance Físico</t>
  </si>
  <si>
    <t xml:space="preserve">Realizar asistencia técnica a 6 organismos sobre control, autocontrol, autoevaluación y herramientas institucionales </t>
  </si>
  <si>
    <t>Servidores públicos y ciudadanos orientados en Código Disciplinario</t>
  </si>
  <si>
    <t xml:space="preserve">Difusión del componente preventivo de la ley disciplinaria a los servidores públicos de la alcaldía y a los ciudadanos de Santiago de Cali  </t>
  </si>
  <si>
    <t>BP-26002962</t>
  </si>
  <si>
    <t xml:space="preserve">Departamento Administrativo de Control Disciplinario Interno </t>
  </si>
  <si>
    <t>BP2600296210101</t>
  </si>
  <si>
    <t xml:space="preserve"> Servidores públicos y ciudadanos   Orientados en  Ley disciplinaria</t>
  </si>
  <si>
    <t>Orientar  en Ley disciplinaria a 960 servidores públicos de 12 organismos</t>
  </si>
  <si>
    <t>Entidades, organismos y dependencias asistidos tecnicamente. (Servidores  públicos orientadas en ley disciplinaria)</t>
  </si>
  <si>
    <t>BP2600296210201</t>
  </si>
  <si>
    <t>Orientar en Ley disciplinaria a 250 ciudadanos de Santigo de Cali</t>
  </si>
  <si>
    <t>Personas   (ciudadanos) de Santiago de Cali orientados  en la Ley Disciplinaria.</t>
  </si>
  <si>
    <t>54020010041</t>
  </si>
  <si>
    <t>Expedientes activos de los procesos disciplinarios de vigencias anteriores terminados</t>
  </si>
  <si>
    <t>Fortalecimiento de la gestión disciplinaria en la alcaldía de Santiago de Cali</t>
  </si>
  <si>
    <t>BP-26002958</t>
  </si>
  <si>
    <t>BP2600295810101</t>
  </si>
  <si>
    <t xml:space="preserve">Expdientes  Activos  de los proceso disciplinarios  de vigencias anteriores terminados </t>
  </si>
  <si>
    <t>Terminar 310 expedientes activos de vigencias anteriores</t>
  </si>
  <si>
    <t>Documentos de investigación elaborados (Expedientes activos de los procesos disciplinarios de vigencias anteriores terminados)</t>
  </si>
  <si>
    <t>BP2600295810201</t>
  </si>
  <si>
    <t>Actualización y mantenimiento de los  módulos del aplicativo Softcontrol</t>
  </si>
  <si>
    <t>Sistemas de información implementados (actualización y mantenimiento de los módulos del aplicativo SOFTCONTROL)</t>
  </si>
  <si>
    <t>Gestión de Información Estadística y Geográfica para la Evaluación de Resultados</t>
  </si>
  <si>
    <t>Investigaciones de la conducta oficial del servidor público, realizadas</t>
  </si>
  <si>
    <t xml:space="preserve"> Investigaciones  de la Conducta Oficial  de la Alcaldia   de Santiago de Cali </t>
  </si>
  <si>
    <t>BP-26002963</t>
  </si>
  <si>
    <t>BP2600296310101</t>
  </si>
  <si>
    <t xml:space="preserve"> Investigaciones  de la conducta oficial  del servidor público realizadas</t>
  </si>
  <si>
    <t>Realizar 2 investigaciones orientadas a la conducta oficial del Servidor público</t>
  </si>
  <si>
    <t>Documentos  de Investigación  elaborados (Investigaciones de la conducta oficial del servidor público, realizadas)</t>
  </si>
  <si>
    <t>,</t>
  </si>
  <si>
    <t>Investigaciones de la dinámica inmobiliaria realizadas</t>
  </si>
  <si>
    <t>Mejoramiento del Mercado Inmobiliario del Distrito de Santiago de Cali</t>
  </si>
  <si>
    <t>BP26004810</t>
  </si>
  <si>
    <t>BP2600481010101</t>
  </si>
  <si>
    <t>Realizar  cálculo del efecto plusvalía producto de hechos generadores</t>
  </si>
  <si>
    <t>Avalúos Realizados</t>
  </si>
  <si>
    <t>Departamento Administrativo de Hacienda 
Subdirección de Catastro</t>
  </si>
  <si>
    <t>BP2600481010201</t>
  </si>
  <si>
    <t>Actualizar la información económica a partir de los procesos catastrales generados</t>
  </si>
  <si>
    <t>Documentos Metodologicos Realizados</t>
  </si>
  <si>
    <t>BP2600481010301</t>
  </si>
  <si>
    <t>Realizar avalúos para la determinación del índice de valoración predial</t>
  </si>
  <si>
    <t>Avalúos realizados</t>
  </si>
  <si>
    <t>BP2600481010401</t>
  </si>
  <si>
    <t>Realizar la investigación de mercado a través de la captura de 2.100 ofertas inmobiliarias.</t>
  </si>
  <si>
    <t>Documentos de investigación generados</t>
  </si>
  <si>
    <t>BP2600481010501</t>
  </si>
  <si>
    <t>Elaborar documentos de investigación de la información catastral</t>
  </si>
  <si>
    <t>BP2600481010601</t>
  </si>
  <si>
    <t xml:space="preserve">Consolidar información del mercado inmobiliario en la base de datos cartográfica
</t>
  </si>
  <si>
    <t xml:space="preserve">Observatorio de Hacienda Pública Distrital Operando </t>
  </si>
  <si>
    <t>Fortalecimiento en la recopilación y análisis de la información económica, financiera, fiscal y tributaria del Distrito de Cali</t>
  </si>
  <si>
    <t>BP26003435</t>
  </si>
  <si>
    <t>BP2600343510101</t>
  </si>
  <si>
    <t xml:space="preserve">Observatorio de Hacienda Pública implementado </t>
  </si>
  <si>
    <t>Elaborar documentos de investigación</t>
  </si>
  <si>
    <t>Departamento Administrativo de Hacienda Municipal - Subdirección de Finanzas Públicas</t>
  </si>
  <si>
    <t xml:space="preserve"> BP2600343510201</t>
  </si>
  <si>
    <t xml:space="preserve">Implementar el Servicio de información </t>
  </si>
  <si>
    <t>Gestión Financiera Eficiente</t>
  </si>
  <si>
    <t>Recursos de vigencias anteriores en proceso de cobro persuasivo y coactivo recuperados</t>
  </si>
  <si>
    <t>Recuperación de cartera en Santiago de Cali</t>
  </si>
  <si>
    <t>BP26003619</t>
  </si>
  <si>
    <t>BP2600361910101</t>
  </si>
  <si>
    <t>Documentos de lineamientos - recuperación de $316.053 millones de pesos para 2024</t>
  </si>
  <si>
    <t>Documentos de Lineamientos técnicos realizado</t>
  </si>
  <si>
    <t>Departamento Administrativo de hacienda Municipal. Subdirección de Tesorería</t>
  </si>
  <si>
    <t xml:space="preserve">BP2600361910201 </t>
  </si>
  <si>
    <t>Se consolida en el informe de la gestión del servicio de información actualizado para la recuperación de cartera en Santiago de Cali, generando la actualización del reporte del recaudo en SAP</t>
  </si>
  <si>
    <t>Ingresos de la vigencia actual de Impuesto Predial Unificado e Impuesto de Industria y Comercio y otros recaudados</t>
  </si>
  <si>
    <t>Fortalecimiento del recaudo de la vigencia corriente en Cali</t>
  </si>
  <si>
    <t>BP26003620</t>
  </si>
  <si>
    <t xml:space="preserve">BP2600362010101 </t>
  </si>
  <si>
    <t>Documentos de lineamientos técnicos (recaudo de $1.404.721 millones de pesos para 2024)</t>
  </si>
  <si>
    <t>Documentos de Lineamientos técnicos realizado </t>
  </si>
  <si>
    <t>BP2600362010201</t>
  </si>
  <si>
    <t>Se consolida en el informe de la gestión del servicio de información actualizado para el recaudo en la vigencia corriente de Cali, generando la actualización del reporte del recaudo en SAP</t>
  </si>
  <si>
    <t>Fortalecimiento de la Tributación en Santiago de Cali</t>
  </si>
  <si>
    <t>BP26003617</t>
  </si>
  <si>
    <t>BP2600361710101</t>
  </si>
  <si>
    <t>Sostenibilidad de los niveles de cumplimiento de las obligaciones tributarias de Impuesto Predial Unificado e ICA en Santiago de Cali y otros</t>
  </si>
  <si>
    <t>Tener 1 servicio de Información implementado para la generación de documentos de cobro, atención al Contribuyente, actualización de la cuenta corriente y aplicación de Actos Administrativos para incrementar los niveles de cumplimiento de las obligaciones tributarias .</t>
  </si>
  <si>
    <t>Número de Sistemas de información implementados</t>
  </si>
  <si>
    <t>Departamento Administrativo de Hacienda - Subdirección de Impuestos y Rentas</t>
  </si>
  <si>
    <t>BP2600361710201</t>
  </si>
  <si>
    <t>Numero de Documentos metodologicos Elaborados</t>
  </si>
  <si>
    <t>BP2600361710301</t>
  </si>
  <si>
    <t>Realizar 8 Cuadros de resultados para la temática de cultura</t>
  </si>
  <si>
    <t>Número de Cuadros de resultados para la temática de cultura</t>
  </si>
  <si>
    <t>Predios actualizados por conservación catastral</t>
  </si>
  <si>
    <t>Fortalecimiento de la información Catastral del Distrito de Santiago de Cali</t>
  </si>
  <si>
    <t>BP26003426</t>
  </si>
  <si>
    <t>BP2600342610101</t>
  </si>
  <si>
    <t>Predios actualizados por Conservación Catastral</t>
  </si>
  <si>
    <t>Realizar actualización de 86.000 predios en el área urbana y rural a través de la conservación Catastral.</t>
  </si>
  <si>
    <t>Predios Actualizados Catastralmente</t>
  </si>
  <si>
    <t>BP2600342610201</t>
  </si>
  <si>
    <t>Actualizar la información cartográfica conforme los cambios reflejados en los predios urbanos y rurales.</t>
  </si>
  <si>
    <t>Cartografía Generada</t>
  </si>
  <si>
    <t>Software del Sistema de Información Catastral Implementado</t>
  </si>
  <si>
    <t>Fortalecimiento del Sistema de Gestión Catastral con Enfoque Multiproposito de Santiago de Cali</t>
  </si>
  <si>
    <t>BP26005100</t>
  </si>
  <si>
    <t>BP2600510010101</t>
  </si>
  <si>
    <t>Renovar el sistema de Gestión Catastral Multipropósito</t>
  </si>
  <si>
    <t>BP2600367210101</t>
  </si>
  <si>
    <t>Implementar el nuevo sistema de información catastral multipropósito</t>
  </si>
  <si>
    <t>Apoyar la gestión operativa del sistema de Gestión Catastral Multipropósito</t>
  </si>
  <si>
    <t>Actualización Catastral Rural</t>
  </si>
  <si>
    <t>Actualización del censo catastral con enfoque multiproósito del Distrito Santiago de Cali</t>
  </si>
  <si>
    <t xml:space="preserve">Departamento Administrativo de Hacienda </t>
  </si>
  <si>
    <t>BP2600474110101</t>
  </si>
  <si>
    <t>Predios actualizados con enfoque multipropósito</t>
  </si>
  <si>
    <t>Realizar actualización de las variaciones fisicas, juridicas y economicas de los predios urbanos.</t>
  </si>
  <si>
    <t>Predios catastralmente actualizados con enfoque multipropósito</t>
  </si>
  <si>
    <t>BP2600474110102</t>
  </si>
  <si>
    <t>Actualizar la información capturada en la base de datos cartografica.</t>
  </si>
  <si>
    <t>BP2600474110103</t>
  </si>
  <si>
    <t>Actualizar el estudio de zonas homogéneas físicas y geoeconómicas del área urbana de la ciudad.</t>
  </si>
  <si>
    <t>Avaluos realizados</t>
  </si>
  <si>
    <t>BP2600474110104</t>
  </si>
  <si>
    <t>Generar información con enfoque multiproposito</t>
  </si>
  <si>
    <t>Centro de Monitoreo Ambiental, con plataforma de vigilancia y control, construido y operando</t>
  </si>
  <si>
    <t>Fortalecimiento del Laboratorio Ambiental en el Marco de la Plataforma de Vigilancia y Control de Santiago de Cali</t>
  </si>
  <si>
    <t>BP26002583</t>
  </si>
  <si>
    <t>BP2600258310101</t>
  </si>
  <si>
    <t>Centro de Monitoreo Ambiental, con
plataforma de vigilancia y control, construido
y operando.</t>
  </si>
  <si>
    <t>Realizar un (1) mantenimiento al laboratorio ambiental para el desempeño de la investigación ambiental (vigilancia y control).</t>
  </si>
  <si>
    <t>Estaciones de investigación adecuadas y dotadas para el desempeño de la investigación mejoradas y dotadas.</t>
  </si>
  <si>
    <t>DAGMA
(Subdirección de Gestión de Calidad Ambiental).</t>
  </si>
  <si>
    <t>BP2600258310201</t>
  </si>
  <si>
    <t>Mantener un (1) laboratorio de calidad ambiental acreditado.</t>
  </si>
  <si>
    <t>Laboratorio de calidad ambiental acreditado.</t>
  </si>
  <si>
    <t>Mejoramiento del Sistema Integral del Recurso Hídrico en el Marco de Plataforma de Vigilancia y Control de Santiago de Cali</t>
  </si>
  <si>
    <t>BP26002584</t>
  </si>
  <si>
    <t>BP2600258410101</t>
  </si>
  <si>
    <t>Centro de Monitoreo Ambiental, con
plataforma de vigilancia y control, construido
y operando</t>
  </si>
  <si>
    <t>Realizar 136 servicios de monitoreo hidrológico</t>
  </si>
  <si>
    <t>Visitas de monitoreo del recurso hídrico,</t>
  </si>
  <si>
    <t>Se inició el proceso de planificación para el seguimiento y control a las captaciones de agua subterráneas sin concesión y evaluaciones de afloramiento.</t>
  </si>
  <si>
    <t>BP2600258410103</t>
  </si>
  <si>
    <t>Realizar 10 documentos de planeación para la gestión integral del recurso hídrico.</t>
  </si>
  <si>
    <t>Documentos de planeación realizados.</t>
  </si>
  <si>
    <t>Se inició el proceso de planificación para la gestión integral del recurso hídrico.</t>
  </si>
  <si>
    <t>BP2600258410201</t>
  </si>
  <si>
    <t>Realizar 580 servicios de seguimiento y control a usuarios del recurso hídrico.</t>
  </si>
  <si>
    <t xml:space="preserve">Servicios de seguimiento y control a usuarios del recurso hídrico, realizado. </t>
  </si>
  <si>
    <t>BP2600258410202</t>
  </si>
  <si>
    <t>Control de Impactos Ambientales Generados por el Sector Industrial, Comercial y de Servicio de Santiago de Cali</t>
  </si>
  <si>
    <t>BP26002593</t>
  </si>
  <si>
    <t>BP2600259310101</t>
  </si>
  <si>
    <t>Se realizaron 12 visitas de verificación para responder a requerimientos de la comunidad.</t>
  </si>
  <si>
    <t>BP2600259310102</t>
  </si>
  <si>
    <t>Realizar 391 documentos de Control de los vertimientos generados por actividades empresariales legalmente constituidas</t>
  </si>
  <si>
    <t>Documentos normativos realizados.</t>
  </si>
  <si>
    <t>BP2600259310201</t>
  </si>
  <si>
    <t>Administración de 3 subsistemas de información del  SIUR:  RESPEL, RUA y PCB</t>
  </si>
  <si>
    <t>Sistemas de información para la gestión.</t>
  </si>
  <si>
    <t>Plataformas actualizadas y operando con normalidad. Estas (3) plataformas son denominadas: PCB, RUA y RESPEL. Se prestó atención a solicitudes de información relacionadas.</t>
  </si>
  <si>
    <t xml:space="preserve">Economía Solidaria y del Bien Colectivo </t>
  </si>
  <si>
    <t>Fortalecimiento a las Unidades Productivas Rurales y Mercados de Paz</t>
  </si>
  <si>
    <t>Familias de pequeños y medianos productores rurales y huerteros urbanos, con asistencia técnica para la producción agropecuaria con enfoque agroecológico, para fortalecer la seguridad y soberanía alimentaria con enfoque diferencial y de género</t>
  </si>
  <si>
    <t>Asistencia Técnica con Enfoque Agroecológico a Pequeños y Medianos Productores para Fortalecer la Seguridad y Soberanía Alimentaria en Santiago de Cali.</t>
  </si>
  <si>
    <t>BP26002600</t>
  </si>
  <si>
    <t>BP2600260010101</t>
  </si>
  <si>
    <t xml:space="preserve">Servicio de Asistencia Técnica Agropecuaria, dirigida a pequeños productores </t>
  </si>
  <si>
    <t>Realizar 150 servicios de asistencia técnica agropecuaria para la seguridad y soberanía alimentaria de pequeños productores rurales.</t>
  </si>
  <si>
    <t xml:space="preserve">Pequeños productores rurales asistidos técnicamente. </t>
  </si>
  <si>
    <t>DAGMA
(Subdirección de Gestión Integral de Ecosistemas y Unidad Municipal de Asistencia Técnica – UMATA)</t>
  </si>
  <si>
    <t>Fortalecimiento de Huertas Agroecológicas en Santiago de Cali</t>
  </si>
  <si>
    <t>BP26002804</t>
  </si>
  <si>
    <t>BP2600280410201</t>
  </si>
  <si>
    <t>Servicio de asistencia a huertas.</t>
  </si>
  <si>
    <t>Capacitar 7 personas en producción agroecológica para el establecimiento, sostenimiento y/o fortalecimiento de huertas.</t>
  </si>
  <si>
    <t>Personas capacitadas.</t>
  </si>
  <si>
    <t>BP2600260010301</t>
  </si>
  <si>
    <t xml:space="preserve">Realizar un (1) servicio de asesoría para el fortalecimiento de la asociatividad </t>
  </si>
  <si>
    <t xml:space="preserve">Asociaciones fortalecidas </t>
  </si>
  <si>
    <t>BP2600260010201</t>
  </si>
  <si>
    <t>Capacitar 30 personas en Buenas Prácticas Agrícolas y producción sostenible (BPA, BPM y PML).</t>
  </si>
  <si>
    <t>Generación de Huertas Agroecológicas para Contribuir la Seguridad y Soberanía Alimentaria en la Comuna 1 de Santiago de  Cali.</t>
  </si>
  <si>
    <t>BP26005040</t>
  </si>
  <si>
    <t>BP2600504010101</t>
  </si>
  <si>
    <t>Prestar 100 servicios de educación informal ambiental</t>
  </si>
  <si>
    <t>BP2600504010201</t>
  </si>
  <si>
    <t>Prestar 20 servicios de asistencia técnica para la implementación de las estrategias educativo ambientales y de participación</t>
  </si>
  <si>
    <t xml:space="preserve">Estrategias educativo ambientales y de participación implementadas </t>
  </si>
  <si>
    <t>Espacios públicos efectivos adecuados arquitectónica y paisajísticamente con empoderamiento ciudadano</t>
  </si>
  <si>
    <t>Recuperación Ambiental y Paisajística en Zonas Verdes y Parques de Santiago de Cali</t>
  </si>
  <si>
    <t>BP26002733</t>
  </si>
  <si>
    <t>BP2600273310101</t>
  </si>
  <si>
    <t>Espacios públicos efectivos adecuados</t>
  </si>
  <si>
    <t>Parques mejorados.</t>
  </si>
  <si>
    <t>BP2600273310102</t>
  </si>
  <si>
    <t>Zonas verdes adecuadas</t>
  </si>
  <si>
    <t>BP2600273310201</t>
  </si>
  <si>
    <t>Elaborar 4 documentos de planificación y el  seguimiento de las intervenciones programadas para zonas blandas de separadores viales, parques y zonas verdes.</t>
  </si>
  <si>
    <t>BP2600273310301</t>
  </si>
  <si>
    <t xml:space="preserve">Realizar un (1) servicio de asistencia técnica en espacio público para el control de la hormiga arriera </t>
  </si>
  <si>
    <t>Entidades territoriales asistidas técnicamente.</t>
  </si>
  <si>
    <t>Recuperación Ambiental y Paisajística del Espacio Público en Parques y Zonas Verdes de la Comuna 21 de Santiago de Cali.</t>
  </si>
  <si>
    <t>BP26003231</t>
  </si>
  <si>
    <t>BP2600323110101</t>
  </si>
  <si>
    <t>Espacios públicos efectivos adecuados
arquitectónica y paisajísticamente con
empoderamiento ciudadano.</t>
  </si>
  <si>
    <t>Adecuar 1 parque (630 metros cuadrados) en la Comuna 21.</t>
  </si>
  <si>
    <t>Mejoramiento Ambiental y Paisajístico de Parques y Zonas Verdes del Espacio Público de la Comuna 3 de Santiago de Cali.</t>
  </si>
  <si>
    <t>BP26004384</t>
  </si>
  <si>
    <t>BP2600438410101</t>
  </si>
  <si>
    <t>Adecuar 1 parque (838 metros cuadrados) en la Comuna 3.</t>
  </si>
  <si>
    <t>Mejoramiento Ambiental y Paisajístico de Parques y Zonas Verdes del Espacio Público de la Comuna 5 de Santiago de Cali.</t>
  </si>
  <si>
    <t>BP26004385</t>
  </si>
  <si>
    <t>BP2600438510101</t>
  </si>
  <si>
    <t>Espacios públicos efectivos adecuados
arquitectónica y paisajísticamente con
empoderamiento ciudadano</t>
  </si>
  <si>
    <t>Adecuar 3 parque (2519 metros cuadrados) en la Comuna 5.</t>
  </si>
  <si>
    <t>Mejoramiento Ambiental y Paisajístico de Parques y Zonas Verdes del Espacio Público de la Comuna 16 de Santiago de Cali.</t>
  </si>
  <si>
    <t>BP26004387</t>
  </si>
  <si>
    <t>Adecuar 1 parque (8700 metros cuadrados) en la Comuna 16.</t>
  </si>
  <si>
    <t>Parques mejorados</t>
  </si>
  <si>
    <t>Mejoramiento Ambiental y Paisajístico de Parques y Zonas Verdes del Espacio Público de la Comuna 19 de Santiago de Cali.</t>
  </si>
  <si>
    <t>BP26004429</t>
  </si>
  <si>
    <t>BP2600442910101</t>
  </si>
  <si>
    <t>Adecuar 3 parques (4700 metros cuadrados) en la Comuna 19.</t>
  </si>
  <si>
    <t>Mejoramiento ambiental y paisajístico de parques y zonas verdes del espacio público de la Comuna 17 de Santiago de Cali</t>
  </si>
  <si>
    <t>BP26004928</t>
  </si>
  <si>
    <t>BP2600492810101</t>
  </si>
  <si>
    <t xml:space="preserve">Adecuar 2 parque (6088 metros cuadrados) en Santiago de Cali. </t>
  </si>
  <si>
    <t>Mejoramiento Ambiental y Paisajístico de Parques y Zonas Verdes del Espacio Público de la Comuna 12 de Santiago de Cali.</t>
  </si>
  <si>
    <t>BP26004929</t>
  </si>
  <si>
    <t>BP2600492910201</t>
  </si>
  <si>
    <t xml:space="preserve">Conservación de las Cuencas Hidrográficas </t>
  </si>
  <si>
    <t>Área para la gestión sostenible de las cuencas hidrográficas, a través de pago por servicios ambientales, restauración y protección de nacimientos, en conservación, con enfoque diferencial y de género</t>
  </si>
  <si>
    <t>Implementación de Incentivos para la Conservación de los Servicios Ambientales de las Áreas de Gestión Sostenible de Cuencas Hidrográficas de Santiago de Cali.</t>
  </si>
  <si>
    <t>BP26002594</t>
  </si>
  <si>
    <t>BP2600259410101</t>
  </si>
  <si>
    <t>Área para la gestión sostenible de las
cuencas hidrográficas, a través de pago por
servicios ambientales</t>
  </si>
  <si>
    <t xml:space="preserve"> Áreas con esquemas de Pago por Servicios Ambientales implementado</t>
  </si>
  <si>
    <t>BP2600259410201</t>
  </si>
  <si>
    <t>Restauración Ecológica de Áreas Degradadas en las Cuencas Hidrográficas y Protección de Predios de Conservación de Santiago de Cali.</t>
  </si>
  <si>
    <t>BP26002598</t>
  </si>
  <si>
    <t>BP2600259810101</t>
  </si>
  <si>
    <t>Área para la gestión sostenible de las
cuencas hidrográficas en conservación</t>
  </si>
  <si>
    <t>Implementar procesos de restauración en 2176,65 ha  en predios públicos.</t>
  </si>
  <si>
    <t>Áreas en proceso de restauración.</t>
  </si>
  <si>
    <t>BP2600259810201</t>
  </si>
  <si>
    <t>Proteger 1499,09 ha de ecosistemas.</t>
  </si>
  <si>
    <t>Áreas de ecosistemas protegidas.</t>
  </si>
  <si>
    <t>Implementación de Prácticas con Enfoque Agroecológico Dirigidas a Pequeños y Medianos Productores del Saladito en Santiago de Cali.</t>
  </si>
  <si>
    <t>BP26003203</t>
  </si>
  <si>
    <t>BP2600320310101</t>
  </si>
  <si>
    <t>Prestar servicio de educación informal a 70 personas en el marco de la conservación de la biodiversidad y los servicios ecosistémicos</t>
  </si>
  <si>
    <t>BP2600320310201</t>
  </si>
  <si>
    <t>Área para la gestión sostenible de las
cuencas hidrográficas, a través de pago por
servicios ambientales, restauración y
protección de nacimientos.</t>
  </si>
  <si>
    <t>Implementar procesos de restauración en 5,5 ha  de ecosistemas en el corregimiento El Saladito.</t>
  </si>
  <si>
    <t xml:space="preserve">Áreas (ha) con proceso de restauración implementados.  </t>
  </si>
  <si>
    <t>Implementación de Acciones para el Mantenimiento del Humedal Pacheco en el Corregimiento de Navarro de Santiago de Cali</t>
  </si>
  <si>
    <t>BP26004118</t>
  </si>
  <si>
    <t>BP2600411810101</t>
  </si>
  <si>
    <t>Implementar procesos de restauración en 2 ha  del humedal Pacheco y franja forestal protectora del río Cauca en el corregimiento de Navarro.</t>
  </si>
  <si>
    <t xml:space="preserve">Hectáreas en proceso de restauración. </t>
  </si>
  <si>
    <t>BP2600411810201</t>
  </si>
  <si>
    <t xml:space="preserve">Capacitar 45 personas en promoción y cultura ambiental. </t>
  </si>
  <si>
    <t>Humedales con planes de manejo ambiental o planes de acción en ejecución</t>
  </si>
  <si>
    <t>Implementación de Acciones para la Conservación de los Humedales de Santiago de Cali.</t>
  </si>
  <si>
    <t>BP26002597</t>
  </si>
  <si>
    <t>BP2600259710101</t>
  </si>
  <si>
    <t>Humedales con planes de manejo ambiental
o planes de acción en ejecución.</t>
  </si>
  <si>
    <t>Preservar 50 ha de humedales.</t>
  </si>
  <si>
    <t>BP2600259710201</t>
  </si>
  <si>
    <t>Actualizar 3 documentos  de lineamientos técnicos (PMA) para la conservación de humedales.</t>
  </si>
  <si>
    <t>Se inició la elaboración de los documentos técnicos programados para el periodo.</t>
  </si>
  <si>
    <t>BP2600259710301</t>
  </si>
  <si>
    <t xml:space="preserve">Capacitar 500 personas en conservación de humedales. </t>
  </si>
  <si>
    <t>Sistema Municipal de Áreas Protegidas – SIMAP, ampliado y fortalecido a través del incremento en áreas protegidas y la ejecución de los planes de manejo ambiental</t>
  </si>
  <si>
    <t>Fortalecimiento del Sistema Municipal de Áreas Protegidas y Estrategias de Conservación - SIMAP Santiago de Cali.</t>
  </si>
  <si>
    <t>BP26002596</t>
  </si>
  <si>
    <t>BP2600259610101</t>
  </si>
  <si>
    <t>Sistema Municipal de Áreas Protegidas -
SIMAP, ampliado y fortalecido a través del
incremento en áreas protegidas y la
ejecución de los planes de majeo ambiental.</t>
  </si>
  <si>
    <t>Proteger 2230 ha de ecosistemas en el marco del SIMAP.</t>
  </si>
  <si>
    <t>Áreas de ecosistemas protegidos.</t>
  </si>
  <si>
    <t>Se avanzó en la revisión y desarrollo de las estrategias de mantenimiento, conservación y vigilancia en las áreas del SIMAP Cali de acuerdo con los PMA. Se cuenta con deficiente personal en campo.</t>
  </si>
  <si>
    <t>BP2600259610201</t>
  </si>
  <si>
    <t>Realizar 1 documentos de lineamientos técnicos para la actualización de PMA en el marco del SIMAP.</t>
  </si>
  <si>
    <t>BP2600259610301</t>
  </si>
  <si>
    <t>Realizar 2 documentos de planeación para la operatividad del SIMAP.</t>
  </si>
  <si>
    <t xml:space="preserve">Documentos de planeación realizados. </t>
  </si>
  <si>
    <t>Se inició con la planificación y seguimiento a las acciones de operatividad del SIMAP. Se realiza revisión del Plan de Acción y reglamento SIMAP elaborados en 2023.</t>
  </si>
  <si>
    <t>BP2600259610401</t>
  </si>
  <si>
    <t>Obras e intervenciones para la descontaminación hídrica de las fuentes superficiales, en el marco de la recuperación del río Cauca, ejecutadas</t>
  </si>
  <si>
    <t>Descontaminación de las Fuentes Hídricas Superficiales de Santiago de Cali.</t>
  </si>
  <si>
    <t>BP26002582</t>
  </si>
  <si>
    <t>BP2600258210201</t>
  </si>
  <si>
    <t>Obras e intervenciones para la descontaminación hídrica de las fuentes superficiales, en el marco de  la recuperación del río Cauca, ejecutadas</t>
  </si>
  <si>
    <t>Asistencias técnicas a  las autoridades ambientales competentes en las estrategias de gobernanza del agua realizadas</t>
  </si>
  <si>
    <t>Ecoparque Pance incluido en la estructura ecológica distrital y adecuado ambiental y paisajísticamente.</t>
  </si>
  <si>
    <t xml:space="preserve">
implementación de acciones para potenciar la oferta de los servicios ambientales en el ecoparque corazón de pance de santiago de cali</t>
  </si>
  <si>
    <t>BP26005090</t>
  </si>
  <si>
    <t>BP2600509010101</t>
  </si>
  <si>
    <t>Aplicar procesos de restauración, mantenimiento y conservación que promuevan la recuperación ambiental y funcionalidad del Ecoparque río Pance (Parque Ambiental Corazón de Pance)</t>
  </si>
  <si>
    <t>Realizar restauración a 85 hectareas  ecológica activa como apoyo al proceso de regeneración natural del Parque Ambiental Corazón de Pance</t>
  </si>
  <si>
    <t>BP2600509010201</t>
  </si>
  <si>
    <t>BP2600509010301</t>
  </si>
  <si>
    <t>Realizar un (1) ajuste y actualización de los diseños correspondientes a la segunda etapa de obras del Parque Ambiental Corazón de Pance</t>
  </si>
  <si>
    <t>Infraestructura ecoturística construida</t>
  </si>
  <si>
    <t>Conectividad Ecológica y Recuperación de Coberturas Verdes</t>
  </si>
  <si>
    <t>Renovación del arbolado urbano en el marco del Plan de Silvicultura Urbana (PSU), en ejecución.</t>
  </si>
  <si>
    <t>Mejoramiento de la Gestión Integral de la Flora Urbana de Santiago de Cali.</t>
  </si>
  <si>
    <t>BP26002682</t>
  </si>
  <si>
    <t>BP2600268210301</t>
  </si>
  <si>
    <t>Intervenir 1024 individuos arbóreos.</t>
  </si>
  <si>
    <t>Árboles intervenidos.</t>
  </si>
  <si>
    <t>BP2600268210202</t>
  </si>
  <si>
    <t>Realizar 2 documentos de lineamientos técnicos de caracterización y diagnóstico del arbolado urbano.</t>
  </si>
  <si>
    <t>BP2600268210201</t>
  </si>
  <si>
    <t>Individuos arbóreos sembrados</t>
  </si>
  <si>
    <t xml:space="preserve">Plantar 860 árboles </t>
  </si>
  <si>
    <t xml:space="preserve">Árboles plantados. </t>
  </si>
  <si>
    <t>Vivero Distrital ampliado y conectado con red de viveros</t>
  </si>
  <si>
    <t>Fortalecimiento en la Producción y Conservación de Especies Vegetales a través de la Red de Viveros de Santiago de Cali</t>
  </si>
  <si>
    <t>BP26002599</t>
  </si>
  <si>
    <t>BP2600259910101</t>
  </si>
  <si>
    <t>Vivero Distrital ampliado y conectado con red
de viveros.</t>
  </si>
  <si>
    <t>Producir 53720 de plántulas en el Vivero Distrital.</t>
  </si>
  <si>
    <t>Plántulas en el Vivero Distrital producidas</t>
  </si>
  <si>
    <t>BP2600259910201</t>
  </si>
  <si>
    <t xml:space="preserve">Capacitar 5310 personas en siembras, mantenimiento y reconocimiento vegetal. </t>
  </si>
  <si>
    <t xml:space="preserve">Se realizaron acciones de educación ambiental enfocadas en la conservación de la biodiversidad vegetal en 33 jornadas operativas, desarrolladas en espacios verdes públicos y áreas de interés ambiental de Cali. Se impactaron 1650 personas con las jornadas operativas - educativas. </t>
  </si>
  <si>
    <t>Gobernanza, Gobernabilidad y Cultura Ambiental</t>
  </si>
  <si>
    <t xml:space="preserve">Sistema de Gestión Ambiental Comunitario – SIGAC y Consejo Municipal de Desarrollo Rural – CMDR, operando </t>
  </si>
  <si>
    <t>Fortalecimiento a Instancias de Participación Comunitaria para la Gestión Ambiental en Santiago de Cali.</t>
  </si>
  <si>
    <t>BP26002805</t>
  </si>
  <si>
    <t>BP2600280510101</t>
  </si>
  <si>
    <t>Instancias de participación comunitaria
SIGAC y CMDR fortalecidas.</t>
  </si>
  <si>
    <t>Implementar una (1)  estrategias educativo ambientales y de participación implementadas</t>
  </si>
  <si>
    <t>Estrategias educativo ambientales y de participación implementadas.</t>
  </si>
  <si>
    <t>BP2600280510201</t>
  </si>
  <si>
    <t>Implementar 2 estrategias educativo ambientales y de participación implementadas.l.</t>
  </si>
  <si>
    <t xml:space="preserve">Plataforma para contrarrestar la tenencia, comercialización ilegal y el maltrato de fauna silvestre y el control de especies exóticas introducidas, implementada </t>
  </si>
  <si>
    <t>Desarrollo de una Plataforma para la Conservación y Control del Recurso de Fauna Silvestre y Exótica en Santiago de Cali</t>
  </si>
  <si>
    <t>BP26002586</t>
  </si>
  <si>
    <t>BP2600258610101</t>
  </si>
  <si>
    <t>Plataforma para contrarrestar la tenencia,
comercialización ilegal y el maltrato de fauna
silvestre y el control de especies exóticas
introducidas, implementada.</t>
  </si>
  <si>
    <t>Operativos de control y vigilancia al recurso de fauna silvestre realizados.</t>
  </si>
  <si>
    <t>BP2600258610201</t>
  </si>
  <si>
    <t>Realizar un (1) Servicio de asistencia técnica para la protección de la fauna y flora silvestre</t>
  </si>
  <si>
    <t>Servicio de asistencia técnica para la protección de la fauna y flora silvestre</t>
  </si>
  <si>
    <t xml:space="preserve">Infraestructuras para la atención, valoración y rehabilitación de la fauna silvestre y la flora, operando </t>
  </si>
  <si>
    <t>Fortalecimiento del Hogar de Paso para la Atención, Valoración y Rehabilitación de la Fauna Silvestre en Santiago de Cali</t>
  </si>
  <si>
    <t>BP26002587</t>
  </si>
  <si>
    <t>BP2600258710101</t>
  </si>
  <si>
    <t>Infraestructura para la atención, valoración y rehabilitación de la fauna silvestre y flora operando.</t>
  </si>
  <si>
    <t xml:space="preserve">Prestar un (1) servicio de protección a la Fauna Silvestre en el Hogar de Paso. </t>
  </si>
  <si>
    <t>Entidades asistidas</t>
  </si>
  <si>
    <t>Implementación de acciones para la operación del Centro de Atención y Valoración de Flora Silvestre en Santiago de Cali</t>
  </si>
  <si>
    <t>BP26004590</t>
  </si>
  <si>
    <t>BP2600459010201</t>
  </si>
  <si>
    <t xml:space="preserve">Número de operativos de control y vigilancia </t>
  </si>
  <si>
    <t>Colectivos ambientales de gestores de educación y cultura, con enfoque diferencial y de género co-creando procesos para la reconciliación ambiental y la conservación de la estructura ecológica, operando en redes</t>
  </si>
  <si>
    <t>Fortalecimiento de colectivos ambientales en prácticas ambientales, educativas y culturales en Santiago de Cali.</t>
  </si>
  <si>
    <t>BP26002806</t>
  </si>
  <si>
    <t>BP2600280610201</t>
  </si>
  <si>
    <t>Colectivos fortalecidos.</t>
  </si>
  <si>
    <t>Suscribir 2 alianzas territoriales para la gestión ambienta</t>
  </si>
  <si>
    <t>Alianzas para el desarrollo de la política nacional ambiental y la participación en la gestión ambiental  suscritas.</t>
  </si>
  <si>
    <t>BP2600280610301</t>
  </si>
  <si>
    <t>Desarrollar una (1) estrategia educativo ambientales y de participación implementadas</t>
  </si>
  <si>
    <t>Número de estrategias</t>
  </si>
  <si>
    <t>Ruralidad Sustentable</t>
  </si>
  <si>
    <t>Centros Integrados de la Ruralidad, operando</t>
  </si>
  <si>
    <t>Implementación de Acciones de Gobernanza y Control Ambiental en la Cuencas Hidrográficas de Santiago de Cali.</t>
  </si>
  <si>
    <t>BP26002595</t>
  </si>
  <si>
    <t>BP2600259510101</t>
  </si>
  <si>
    <t>Centros Integrados de la Ruralidad, operando.</t>
  </si>
  <si>
    <t>Fortalecer una (1) infraestructura, la administración, la vigilancia y el control de las áreas protegidas.</t>
  </si>
  <si>
    <t>Infraestructura construida para la administración, la vigilancia y el control de las áreas protegidas.</t>
  </si>
  <si>
    <t>BP2600259510201</t>
  </si>
  <si>
    <t>Prestar en 10000 ha el servicio de prevención, vigilancia y control de las áreas protegidas.</t>
  </si>
  <si>
    <t>Áreas cubiertas con jornadas de vigilancia.</t>
  </si>
  <si>
    <t>Mitigación del Cambio Climático</t>
  </si>
  <si>
    <t>Gestión Integral de Residuos Sólidos</t>
  </si>
  <si>
    <t>Generadores de Residuos de Construcción y Demolición-RCD y Residuos Ordinarios, vinculados a un proceso de manejo eficiente y mejores prácticas en su gestión</t>
  </si>
  <si>
    <t>Fortalecimiento de la Gestión Integral de los Residuos Sólidos en Santiago de Cali.</t>
  </si>
  <si>
    <t>BP26002588</t>
  </si>
  <si>
    <t>BP2600258810101</t>
  </si>
  <si>
    <t>Generadores de Residuos de Construcción y
Demolición-RCD y Residuos Ordinarios,
vinculados a un proceso de manejo eficiente
y mejores prácticas en su gestión.</t>
  </si>
  <si>
    <t>Instrumentos técnicos generados.</t>
  </si>
  <si>
    <t>Producción y Consumo Responsable</t>
  </si>
  <si>
    <t>Empresas con cambios hacia patrones de producción y consumo sostenible</t>
  </si>
  <si>
    <t>BP26002592</t>
  </si>
  <si>
    <t>BP2600259210101</t>
  </si>
  <si>
    <t xml:space="preserve">Elaborar 11 Documentos normativos para el fortalecimiento del desempeño ambiental de los sectores productivos). </t>
  </si>
  <si>
    <t>Documentos normativos en el marco de la incorporación de variables ambientales en la planificación sectorial expedidos</t>
  </si>
  <si>
    <t>BP2600259210201</t>
  </si>
  <si>
    <t>Realizar 4 documentos técnicos para la evaluación ambiental estratégica (evaluación, selección de empresas para el programa).</t>
  </si>
  <si>
    <t>Documentos de estudios técnicos para el fortalecimiento del desempeño ambiental de los sectores productivos</t>
  </si>
  <si>
    <t>Negocios verdes registrados, evaluados y promovidos</t>
  </si>
  <si>
    <t>Fortalecimiento de la Ventanilla de Negocios Verdes de Santiago de Cali</t>
  </si>
  <si>
    <t>BP26002591</t>
  </si>
  <si>
    <t>BP2600259110201</t>
  </si>
  <si>
    <t>Entidades y sectores asistidos técnicamente para la incorporación de varibales ambientales en la planificación sectorial.</t>
  </si>
  <si>
    <t>Se prestó asesoría técnica correspondiente a la validación de los Negocios Verdes. Para ello se han tenido 3 reuniones virtuales con el MinAmbiente, y se ha realizado seguimiento telefónico y visitas de verificación a varios negocios ya inscritos.</t>
  </si>
  <si>
    <t>BP2600259110101</t>
  </si>
  <si>
    <t>Negocios verdes registrados, evaluados y promovidos.</t>
  </si>
  <si>
    <t>Negocios verdes consolidados</t>
  </si>
  <si>
    <t xml:space="preserve">Obras de desarrollo urbanístico y habitabilidad, aplicando buenas prácticas ambientales y de construcción sostenible. </t>
  </si>
  <si>
    <t>Contribución al Mejoramiento de la Calidad Ambiental Urbana a Través de Estrategias que Promuevan las Buenas Prácticas Ambientales en Obras de Desarrollo Urbanístico en Santiago de Cali.</t>
  </si>
  <si>
    <t>BP26002589</t>
  </si>
  <si>
    <t>BP2600258910101</t>
  </si>
  <si>
    <t>Obras de desarrollo urbanístico y
habitabilidad, aplicando buenas prácticas
ambientales y de construcción sostenible.</t>
  </si>
  <si>
    <t>Documentos de lineamientos técnicos para  promover la gestión sostenible del suelo elaborados</t>
  </si>
  <si>
    <t>Establecimientos con usos de alto impacto ambiental de controlados con medidas de mitigación ambiental</t>
  </si>
  <si>
    <t>Aplicación de Esquemas de Implantación y Regularización – EIR al Sector Empresarial con Alto Impacto Ambiental en Santiago de Cali.</t>
  </si>
  <si>
    <t>BP26002590</t>
  </si>
  <si>
    <t>BP2600259010101</t>
  </si>
  <si>
    <t>Elaborar 17 documentos relacionados con procesos de IVC necesarios para definir el estado de cumplimiento ambiental de las solicitudes de adopción y/o actividades sujetas a EIR.</t>
  </si>
  <si>
    <t>Documentos de estudios técnicos para el conocimiento y reducción del riesgo de desastres elaborados.</t>
  </si>
  <si>
    <t>BP2600259010201</t>
  </si>
  <si>
    <t>Establecimientos con usos de alto impacto ambiental de controlados con medidas de mitigación ambiental.</t>
  </si>
  <si>
    <t>Elaborar 21 documentos (conceptos) técnicos ambientales de los estudios reportados  en el marco de la implementación de EIR.</t>
  </si>
  <si>
    <t>Reducción de la Huella Ecológica de Santiago de Cali</t>
  </si>
  <si>
    <t>Medidas de acción a corto plazo del Plan integral de gestión del Cambio Climático de Santiago de Cali, ejecutadas</t>
  </si>
  <si>
    <t>Mejoramiento de la Gestión, Planificación y Acciones de Mitigación al Cambio Climático en Santiago de Cali.</t>
  </si>
  <si>
    <t>BP26002629</t>
  </si>
  <si>
    <t>BP2600262910201</t>
  </si>
  <si>
    <t>Medidas de acción a corto plazo del Plan integral de gestión del Cambio Climático de Santiago de Cali, ejecutadas.</t>
  </si>
  <si>
    <t>Desarrollar una (1) acción de mitigación y adaptación al cambio climático.</t>
  </si>
  <si>
    <t xml:space="preserve">Se realizaron actividades de aprestamiento como: proceso de empalme con la nueva administración DAGMA, se elaboró un plan de trabajo y actualización de la metodología para fase de campo, con presupuesto. Por otra parte, se entregó propuesta para la inclusión de la Política Pública para la Gestión Integrada de los Recurso Hídrico – PPGIRH. (El PPGIRH es un producto de este proyecto para la mitigación del cambio climático). </t>
  </si>
  <si>
    <t xml:space="preserve">Gestión de la calidad del aire y disminución y control del impacto sonoro </t>
  </si>
  <si>
    <t xml:space="preserve">Acciones del Programa de Aire Limpio implementadas </t>
  </si>
  <si>
    <t>Mejoramiento de las Acciones de Vigilancia, Planificación y Gestión de la Calidad del Aire en Santiago de Cali.</t>
  </si>
  <si>
    <t>BP26002683</t>
  </si>
  <si>
    <t>BP2600268310101</t>
  </si>
  <si>
    <t xml:space="preserve">Acciones del Programa de Aire Limpio implementadas. </t>
  </si>
  <si>
    <t>Fortalecer 13 estaciones para el monitoreo de la calidad del aire.</t>
  </si>
  <si>
    <t>Estaciones para el monitoreo de la calidad del aire.</t>
  </si>
  <si>
    <t>El Sistema de Vigilancia de Calidad del Aire de Santiago de Cali – SVCASC tiene 13 estaciones, 9 estaciones de calidad del aire (C/A) y 4 de ruido. A la fecha (marzo 30 de 2024) NO se recibieron datos de 2 estaciones de C/A (Flora y Ermita) y 7 (Univalle, Transitoria, Cañaveralejo, Obrero, Base Aérea, Pance y Compartir) se generaron datos indicativos, lo anterior se debe a que ningún equipo contó con calibración de rutina. Los equipos de medición de ruido ambiental y complementarios, fueron desmontados para su calibración en el mes de noviembre de 2023 y aún no han sido instalados.</t>
  </si>
  <si>
    <t>BP2600268310201</t>
  </si>
  <si>
    <t>Realizar un  (1) Documento de lineamientos técnicos para para mejorar la calidad ambiental de las áreas urbanas elaborados</t>
  </si>
  <si>
    <t>Documentos de lineamientos técnicos para para mejorar la calidad ambiental de las áreas urbanas elaborados</t>
  </si>
  <si>
    <t>Se estableció que la elaboración del documento de lineamientos técnicos para mejorar la calidad ambiental de las áreas urbanas será un producto de las consultoría alrededor de la disminución de las toneladas de dióxido de carbono en las fuentes móviles y fijas.</t>
  </si>
  <si>
    <t xml:space="preserve">Plan de Mejora del Ambiente Sonoro, actualizado, adoptado y ejecutado </t>
  </si>
  <si>
    <t>Implementación del Plan de Mejora del Ambiente Sonoro en Santiago de Cali.</t>
  </si>
  <si>
    <t>BP26002655</t>
  </si>
  <si>
    <t>BP2600265510101</t>
  </si>
  <si>
    <t>Plan de Mejoramiento de Ambiente Sonoro
actualizado, adoptado y ejecutado.</t>
  </si>
  <si>
    <t>Elaborar un (1) documento de seguimiento al Plan de Mejoramiento de Ambiente Sonoro.</t>
  </si>
  <si>
    <t>Documentos de política para mejorar la calidad ambiental de las áreas urbanas elaborados.</t>
  </si>
  <si>
    <t>Se realizó el seguimiento al Plan de Mejoramiento del Ambiente Sonoro de Santiago de Cali – PMAS. Avance del documento: 35%. Por otra parte, se realiza el proceso para la actualización de los mapas estratégicos de ruido y del documento Plan de Mejora del Ambiente Sonoro de Santiago de Cali.</t>
  </si>
  <si>
    <t>BP2600265510201</t>
  </si>
  <si>
    <t>Documentos de instrumentos técnicos de evaluación y seguimiento ambiental realizados.</t>
  </si>
  <si>
    <t>De enero a marzo de 2024 se realizaron 149 visitas y operativos a zonas de especial atención y a establecimientos de comercio y/o de servicios con el fin de prevenir o mitigar impactos por ruido. Se realizaron monitoreos de emisión de ruido en diferentes puntos de la ciudad, imponiendo las respectivas medicas preventivas a las que hubo lugar.</t>
  </si>
  <si>
    <t xml:space="preserve">Gestión del Riesgo </t>
  </si>
  <si>
    <t xml:space="preserve">Conocimiento del Riesgo  </t>
  </si>
  <si>
    <t xml:space="preserve">Redes para la vigilancia e identificación de amenazas socio naturales generadoras de riesgo, fortalecidas y en funcionamiento </t>
  </si>
  <si>
    <t>Fortalecimiento de Redes para la Vigilancia e Identificación de Amenazas Naturales Generadoras de Riesgo en Santiago de Cali.</t>
  </si>
  <si>
    <t>BP26002735</t>
  </si>
  <si>
    <t>BP2600273510101</t>
  </si>
  <si>
    <t>Redes para la vigilancia e identificación de
amenazas socio naturales generadoras de
riesgo, fortalecidas y en funcionamiento.</t>
  </si>
  <si>
    <t xml:space="preserve">Realizar 6 documentos de lineamientos técnicos de riesgo sísmico. </t>
  </si>
  <si>
    <t>Procesos institucionales de la autoridad ambiental, conforme a los requerimientos de las políticas institucionales y administrativas vigentes mejorados</t>
  </si>
  <si>
    <t>Implementación del Sistema de Planeación y Gestión de la Autoridad Ambiental de Santiago de Cali.</t>
  </si>
  <si>
    <t>BP26002684</t>
  </si>
  <si>
    <t>BP2600268410101</t>
  </si>
  <si>
    <t>Procesos de la Autoridad Ambiental, para el
desarrollo de la gestión y el desempeño
institucional mejorados.</t>
  </si>
  <si>
    <t>Elaborar UN (1 ) Sistema de gestión implementado</t>
  </si>
  <si>
    <t>Sistema de gestión implementado.</t>
  </si>
  <si>
    <t>DAGMA
(Unidad de Apoyo a la Gestión)</t>
  </si>
  <si>
    <t>Observatorio Ambiental, como un instrumento de reporte, seguimiento y generación de conocimiento para la gestión ambiental, actualizado y operando</t>
  </si>
  <si>
    <t>Fortalecimiento de la Operación del Observatorio Ambiental en Santiago de Cali.</t>
  </si>
  <si>
    <t>BP26002946</t>
  </si>
  <si>
    <t>BP2600294610101</t>
  </si>
  <si>
    <t>Observatorio Ambiental, como un instrumento de reporte, seguimiento y generación de conocimiento para la gestión ambiental, actualizado y operando.</t>
  </si>
  <si>
    <t>Realizar un (1) Documento de diagnóstico para la gestión de la información y el conocimiento ambiental</t>
  </si>
  <si>
    <t>Desarrollo del Observatorio Ambiental de la Comuna 22 de Santiago de Cali.</t>
  </si>
  <si>
    <t>BP26003335</t>
  </si>
  <si>
    <t>BP2600333510101</t>
  </si>
  <si>
    <t>Observatorio Ambiental, como un instrumento de reporte, seguimiento y generación de conocimiento</t>
  </si>
  <si>
    <t>Divulgar dos (2) documento para la Planificación sectorial y la gestión ambiental</t>
  </si>
  <si>
    <t>Documentos divulgados</t>
  </si>
  <si>
    <t>BP2600333510201</t>
  </si>
  <si>
    <t>Implementar un (1) servicio de información para la gestión del conocimiento ambiental.
(Observatorio de Monitoreo Ambiental de la Comuna 22).</t>
  </si>
  <si>
    <t>Equipamientos inteligentes operando</t>
  </si>
  <si>
    <t>Implementación de equipamientos inteligentes en Santiago de  Cali</t>
  </si>
  <si>
    <t>BP-26002551</t>
  </si>
  <si>
    <t>BP2600255110101</t>
  </si>
  <si>
    <t>Brindar servicios de apoyo para la Gestión del Conocimiento en Cultura y Apropiación Social de la Ciencia, la Tecnología y la Innovación (Brindar servicios de apoyo en la operación de los 18 equipamientos inteligentes en espacios públicos)</t>
  </si>
  <si>
    <t>Estrategias de gestión del conocimiento en cultura y apropiación social de ciencia tecnología e innovación realizados (equipamientos inteligentes operando)</t>
  </si>
  <si>
    <t>Departamento Administrativo de Tecnologías de la Información y las Comunicaciones - Subdirección de Innovación Digital</t>
  </si>
  <si>
    <t xml:space="preserve">Zonas públicas con acceso gratuito a internet para el servicio al ciudadano </t>
  </si>
  <si>
    <t>Ampliación de la cantidad de zonas públicas con acceso gratuito a internet con servicio al ciudadano en Santiago de Cali</t>
  </si>
  <si>
    <t>BP-26002959</t>
  </si>
  <si>
    <t>Departamento Administrativo de Tecnologías de la Información y las Comunicaciones - Subdirección de Tecnología Digital</t>
  </si>
  <si>
    <t>BP2600295910101</t>
  </si>
  <si>
    <t>Zonas públicas con acceso gratuito a internet para el servicio al ciudadano habilitadas</t>
  </si>
  <si>
    <t>Brindar servicio de acceso a 57 zonas digitales (operar las 57 zonas wi fi existentes)</t>
  </si>
  <si>
    <t>Zonas digitales instaladas (zonas públicas con acceso a Internet habilitadas)</t>
  </si>
  <si>
    <t xml:space="preserve">Personas con formación, sensibilización y/o utilización de servicios en el uso y apropiación de tecnologías de la información y la comunicación TIC </t>
  </si>
  <si>
    <t>Formación y utilización de servicios en el uso y apropiación de tecnologías de la información y las comunicaciones TIC de Santiago de Cali</t>
  </si>
  <si>
    <t>BP-26002621</t>
  </si>
  <si>
    <t>BP2600262110101</t>
  </si>
  <si>
    <t xml:space="preserve">Número de personas que participan de los procesos de formación, sensibilización y/o utilización de servicios en el uso y apropiación de tecnologías de la información y la comunicación TIC </t>
  </si>
  <si>
    <t>Brindar servicio de educación informal a 3000 personas para aumentar la calidad y cantidad de talento humano para la industria TI (Capacitar 3000 personas en programas informales de tecnologías de la información)</t>
  </si>
  <si>
    <t>Personas capacitadas en programas informales de Tecnologías de la Información</t>
  </si>
  <si>
    <t>Puntos de apropiación digital y laboratorios de innovación digital operando</t>
  </si>
  <si>
    <t>Administración de Puntos de Apropiación Digital (PAD) y Laboratorios de Innovación Digital (LID) de Santiago de Cali</t>
  </si>
  <si>
    <t>BP-26002619</t>
  </si>
  <si>
    <t>BP2600261910101</t>
  </si>
  <si>
    <t>Fortalecer y dotar 32 centros de ciencia ( acondicionar y fortalecer 32 PAD / LID)</t>
  </si>
  <si>
    <t>Centros de Ciencia Fortalecidos y dotados (PAD / LID fortalecidos y dotados)</t>
  </si>
  <si>
    <t>BP2600261910201</t>
  </si>
  <si>
    <t>Implementar 1 estrategia de comunicación con enfoque en ciencia, tecnología y sociedad (operar 32 LID/PAD)</t>
  </si>
  <si>
    <t>Estrategias de comunicación implementadas con enfoque en ciencia, tecnología y sociedad implementadas (PAD y LID operando)</t>
  </si>
  <si>
    <t>Prototipos de innovación digital con respuesta a necesidades de ciudad desarrollados</t>
  </si>
  <si>
    <t>Implementación de prototipos de innovación digital que atienden necesidades de Santiago de Cali</t>
  </si>
  <si>
    <t>BP-26002603</t>
  </si>
  <si>
    <t>BP2600260310101</t>
  </si>
  <si>
    <t>Realizar 2 estrategias de gestión del conocimiento en cultura y apropiación social de ciencia tecnología e innovación (diseñar e implementar 2 prototipos de innovación digital)</t>
  </si>
  <si>
    <t>Estrategias de gestión del conocimiento en cultura y apropiación social de ciencia tecnología e innovación realizados (prototipos de innovación digital desarrollados)</t>
  </si>
  <si>
    <t>Conexiones físicas de Instituciones Distritales pertenecientes a REMI con mantenimiento</t>
  </si>
  <si>
    <t>Fortalecimiento de la red Distrital REMI en el Municipio de Santiago de  Cali</t>
  </si>
  <si>
    <t>BP-26002970</t>
  </si>
  <si>
    <t>BP2600297010101</t>
  </si>
  <si>
    <t>Garantizar Servicio de conexiones a redes de acceso (Realizar el mantenimiento preventivo y correctivo a 1951 puntos de acceso de la Red REMI)</t>
  </si>
  <si>
    <t>Conexiones a internet fijo y / o móvil ( Conexiones de la Red REMI con mantenimiento preventivo y correctivo)</t>
  </si>
  <si>
    <t>Estrategias de uso y apropiación de TIC implementadas</t>
  </si>
  <si>
    <t>Implementación de estrategias de Uso y Apropiación TIC para la Alcaldía de Santiago de Cali</t>
  </si>
  <si>
    <t>BP-26002624</t>
  </si>
  <si>
    <t>BP2600262410101</t>
  </si>
  <si>
    <t>Entregar 2 Documentos metodológicos Desarrollar 2 estrategias de uso y apropiación de TIC)</t>
  </si>
  <si>
    <t>Documentos metodológicos realizados (Estrategias de uso y apropiación de TIC implementadas)</t>
  </si>
  <si>
    <t>Modelo Integrado de Planeación y Gestión implementado en DATIC</t>
  </si>
  <si>
    <t>Consolidación del Modelo Integrado de Planeación y Gestión –MIPG- en el Departamento Administrativo de las Tecnologías de la Información y las Comunicaciones -DATIC - de Santiago de  Cali</t>
  </si>
  <si>
    <t>BP-26002557</t>
  </si>
  <si>
    <t>Departamento Administrativo de Tecnologías de la Información y las Comunicaciones - Unidad de Apoyo</t>
  </si>
  <si>
    <t>BP2600255710101</t>
  </si>
  <si>
    <t>implementar el 100% del Sistema de Gestión</t>
  </si>
  <si>
    <t>Sistema de Gestión Implementado</t>
  </si>
  <si>
    <t>Conjunto de datos con Modelo de Big Data implementado</t>
  </si>
  <si>
    <t xml:space="preserve"> Implementación de un Modelo de Big Data en la Alcaldía de Santiago  Cali</t>
  </si>
  <si>
    <t>BP 26002638</t>
  </si>
  <si>
    <t>BP2600263810101</t>
  </si>
  <si>
    <t>Realizar 1 documento metodológico (diseñar, configurar e implementar 1 solución de arquitectura de lago de datos)</t>
  </si>
  <si>
    <t xml:space="preserve"> Documentos metodológicos realizados (arquitectura de lago de datos diseñada, configurada e implementada)</t>
  </si>
  <si>
    <t>BP2600263810201</t>
  </si>
  <si>
    <t>Realizar 1 documentos de lineamientos técnicos (Implementar 1 conjunto de datos con Big Data)</t>
  </si>
  <si>
    <t>Documentos de lineamientos técnicos realizados (Conjunto de datos implementado)</t>
  </si>
  <si>
    <t>Datacenter del Distrito Especial, unificado</t>
  </si>
  <si>
    <t>Consolidación del centro de datos de la Alcaldía de Santiago de  Cali</t>
  </si>
  <si>
    <t>BP-26002550</t>
  </si>
  <si>
    <t>BP2600255010101</t>
  </si>
  <si>
    <t>Alcanzar el 80% en el índice de capacidad de prestación de servicios de tecnología (Mantener un (1)  datacenter consolidado )</t>
  </si>
  <si>
    <t>Índice de capacidad en la prestación de servicios de tecnología (Datacenter consolidado)</t>
  </si>
  <si>
    <t>Sistemas de Información de la entidad modernizados</t>
  </si>
  <si>
    <t xml:space="preserve">Actualización de los Sistemas de Información de la Administración Central del Municipio de Cali  </t>
  </si>
  <si>
    <t>BP-26002898</t>
  </si>
  <si>
    <t>BP2600289810101</t>
  </si>
  <si>
    <t>Herramientas tecnológicas de Gobierno digital  implementadas (Sistemas de Información Actualizados)</t>
  </si>
  <si>
    <t>Modelo del sistema de compra pública responsable</t>
  </si>
  <si>
    <t>Implementación de un modelo de compras públicas responsables en la Administración Central de Santiago de Cali</t>
  </si>
  <si>
    <t>BP26002942</t>
  </si>
  <si>
    <t>BP2600294210101</t>
  </si>
  <si>
    <t>Modelo del sistema de compra pública responsable implementado</t>
  </si>
  <si>
    <t xml:space="preserve">Generar (2) un espacio para divulgar a la ciudadania y proveedores herramientas que faciliten el acceso y la participación al sistema de compra pública de la Administración Central Distrital. </t>
  </si>
  <si>
    <t>Espacios para la integración de la oferta pública generados</t>
  </si>
  <si>
    <t>BP2600294210201</t>
  </si>
  <si>
    <t>Actualizar (1) un sistema de información de compra pública.</t>
  </si>
  <si>
    <t>BP2600294210301</t>
  </si>
  <si>
    <t xml:space="preserve">Elaborar (1) un documento con lineamiento técnico que permitan una actualización constante en la gestión contractual de la Administración Central Distrital. </t>
  </si>
  <si>
    <t>BP2600294210401</t>
  </si>
  <si>
    <t xml:space="preserve">Capacitar (300) personas mediante educación informal que permita la gestión del conocimiento en materia de contratación de los actores que intervienen en la compra pública. </t>
  </si>
  <si>
    <t>Avance Fisico</t>
  </si>
  <si>
    <t>Documentos técnicos de rediseño institucional acorde con la categoría Cali Distrito Especial, elaborados</t>
  </si>
  <si>
    <t>Asistencia técnica para el desarrollo de la categoría de distrito especial en la Alcaldía de Santiago de Cali</t>
  </si>
  <si>
    <t>BP26002701</t>
  </si>
  <si>
    <t>BP2600270110101</t>
  </si>
  <si>
    <t>Elaborar un estudio técnico de rediseño institucional en la Alcadía de Santiago de Cali</t>
  </si>
  <si>
    <t>Departamento administrativo de Desarrollo e Innovación Institucional - Subdirección de Gestión Organizacional</t>
  </si>
  <si>
    <t>BP2600270110201</t>
  </si>
  <si>
    <t>Elaborar un estudio técnico para la creación de la oficina de relacionamiento con el ciudadano en la Alcaldía de Santiago de Cali</t>
  </si>
  <si>
    <t xml:space="preserve">Instrumentos de gestión y control actualizados </t>
  </si>
  <si>
    <t>Actualización de instrumentos de gestión y control en la alcaldía de Santiago de Cali</t>
  </si>
  <si>
    <t>BP26002709</t>
  </si>
  <si>
    <t>BP2600270910101</t>
  </si>
  <si>
    <t>Instrumentos de gestión y control actualizados</t>
  </si>
  <si>
    <t>Actualizar (4) documentos de evaluación de la gestión y control institucional en la Alcaldía de Santiago de Cali</t>
  </si>
  <si>
    <t>Documentos de evaluación elaborados</t>
  </si>
  <si>
    <t>BP2600270910201</t>
  </si>
  <si>
    <t>Asistir técnicamente a (26) organismos para la apropiación de métodos y herramientas de seguimiento, control y medición en la Alcaldía de Santiago de Cali</t>
  </si>
  <si>
    <t xml:space="preserve">Servidores públicos, capacitados según plan de formación </t>
  </si>
  <si>
    <t xml:space="preserve">Desarrollo de las capacidades y competencias de los servidores públicos de la Alcaldía de Santiago de Cali </t>
  </si>
  <si>
    <t>BP26002706</t>
  </si>
  <si>
    <t>BP2600270610101</t>
  </si>
  <si>
    <t>Servidores públicos, capacitados según plan de formación</t>
  </si>
  <si>
    <t>Capacitar según plan de formación a 500 servidores públicos del Distrito de Santiago de Cali.</t>
  </si>
  <si>
    <t>Departamento administrativo de Desarrollo e Innovación Institucional - Subdirección de Gestión Estratégica del Talento Humano</t>
  </si>
  <si>
    <t xml:space="preserve">Clima y la cultura organizacional, intervenido y medido, </t>
  </si>
  <si>
    <t>Fortalecimiento del clima y la cultura organizacional de los servidores públicos en la Alcaldía de Santiago de Cali</t>
  </si>
  <si>
    <t>BP26002707</t>
  </si>
  <si>
    <t>BP2600270710201</t>
  </si>
  <si>
    <t>Clima y la cultura organizacional, intervenido y medido</t>
  </si>
  <si>
    <t>Realizar una (1) intervención del clima y la cultura organizacional del Distrito Especial de Santiago de Cali</t>
  </si>
  <si>
    <t>Documentos metodológicos</t>
  </si>
  <si>
    <t xml:space="preserve">Fases del sistema de información, para la Gestión del Conocimiento en los 39 Procesos de la entidad, implementadas </t>
  </si>
  <si>
    <t>Implementación de un sistema para la gestión del conocimiento e innovación en la Alcaldía de Santiago de Calii</t>
  </si>
  <si>
    <t>BP26004801</t>
  </si>
  <si>
    <t>BP2600480110101</t>
  </si>
  <si>
    <t>Implementar la Metodología para la Gestión del Conocimiento en los procesos  de la Alcaldía de Santiago de Cali</t>
  </si>
  <si>
    <t>Servicio de asistencia técnica</t>
  </si>
  <si>
    <t>BP2600480110201</t>
  </si>
  <si>
    <t>Desarrollar un sistema de información Ppara la gestión del conocimiento en los procesos de la Alcaldía de Santiago de Cali</t>
  </si>
  <si>
    <t>Niveles de modelación de los procesos de la Entidad bajo Arquitectura Empresarial (AE) estandarizados</t>
  </si>
  <si>
    <t>Implementación de un modelo de diagramación de procesos en notación BPMN en la alcaldía de Santiago de Cali</t>
  </si>
  <si>
    <t>BP26002716</t>
  </si>
  <si>
    <t>BP2600271610201</t>
  </si>
  <si>
    <t>Asistir técnicamente a (4) procesos para la modelación en BPMN y estandarizados bajo AE.</t>
  </si>
  <si>
    <t>Instrumentos de Arquitectura Empresarial de Planeación y Misionalidad de la Entidad, formulados</t>
  </si>
  <si>
    <t>Implementación de los instrumentos de arquitectura empresarial en los dominios de planeación y misional en la alcaldía de Santiago de Cali</t>
  </si>
  <si>
    <t>BP26002717</t>
  </si>
  <si>
    <t>BP2600271710101</t>
  </si>
  <si>
    <t>Avanzar en la elaboración del documento para la planeación estratégica en TI acorde con la Planeación de la Arquitectura Empresarial en la Alcaldía de Santiago de Cali</t>
  </si>
  <si>
    <t>Documentos para la planeación estratégica en TI</t>
  </si>
  <si>
    <t>BP2600271710201</t>
  </si>
  <si>
    <t>Avanzar en la elaboración de (1) documento metodológico acorde a la Arquitectura Misional en la Alcaldía de Santiago de Cali</t>
  </si>
  <si>
    <t>Modelo de Teletrabajo, diseñado</t>
  </si>
  <si>
    <t>Diseño de un modelo de teletrabajo en la Alcaldía de Cali</t>
  </si>
  <si>
    <t>BP26002738</t>
  </si>
  <si>
    <t>BP2600273810201</t>
  </si>
  <si>
    <t>Implementación del Modelo de Teletrabajo en la Alcaldía de Santiago de Cali.</t>
  </si>
  <si>
    <t xml:space="preserve">Sistema de Gestión de Calidad de la entidad, bajo la norma NTC ISO 9001:2015, actualizado </t>
  </si>
  <si>
    <t>Actualización del sistema de gestión de calidad en la alcaldía de Santiago de Cali</t>
  </si>
  <si>
    <t>BP26002705</t>
  </si>
  <si>
    <t>BP2600270510101</t>
  </si>
  <si>
    <t>Elaborar (10) documentos de evaluación en cumplimiento de los requisitos del Sistema de Gestión de Calidad en el Distrito especial de Santiago de Cali</t>
  </si>
  <si>
    <t>Instrumentos de servicio al ciudadano actualizados</t>
  </si>
  <si>
    <t>Elaboración de instrumentos para la implementación de la política de servicio al ciudadano en la alcaldía de Santiago de Cali</t>
  </si>
  <si>
    <t>BP26002715</t>
  </si>
  <si>
    <t>BP2600271510101</t>
  </si>
  <si>
    <t>Asistir técnicamente a (26) organismos para apropiación de los lineamientos de la Política de Servicio al Ciudadano en la Alcaldía de Santiago de Cali</t>
  </si>
  <si>
    <t>Departamento Administrativo de Desarrollo e Innovación Institucional - Subdirección de Trámites, Servicios y Gestión Documental</t>
  </si>
  <si>
    <t>BP2600271510201</t>
  </si>
  <si>
    <t>Instrumentos de servicio al ciudadano
actualizados</t>
  </si>
  <si>
    <t>Elaborar (1) documentos metodológicos de implementación de la Política de Servicio al Ciudadano en la Alcaldía de Santiago de Cali</t>
  </si>
  <si>
    <t xml:space="preserve">Acciones de racionalización de trámites y servicios implementadas </t>
  </si>
  <si>
    <t>Implementación de la estrategia Antitrámites y acciones de racionalización en la alcaldía de Santiago de Cali</t>
  </si>
  <si>
    <t>BP26002711</t>
  </si>
  <si>
    <t>BP2600271110101</t>
  </si>
  <si>
    <t>Asistir técnicamente a (14) organismos para apropiación de los lineamientos de la estrategia Antitrámites en la Alcaldía de Santiago de Cali</t>
  </si>
  <si>
    <t>BP2600271110201</t>
  </si>
  <si>
    <t>Acciones de racionalización de trámites y
servicios implementadas</t>
  </si>
  <si>
    <t>Elaborar plan de racionalización con (11) acciones de racionalización de trámites y servicios en la Alcaldía de Santiago de Cali</t>
  </si>
  <si>
    <t>Imágenes digitalizadas de documentación con organización archivística</t>
  </si>
  <si>
    <t>Aplicación De la Ley General de Archivo al patrimonio documental en la Alcaldía de Santiago de Cali</t>
  </si>
  <si>
    <t>BP26002708</t>
  </si>
  <si>
    <t>BP2600270810101</t>
  </si>
  <si>
    <t>Realizar jornadas de sensibilización a (1500) personas vinculadas a la Administración, en la aplicación del ejercicio archivístico.</t>
  </si>
  <si>
    <t>Personas
capacitadas</t>
  </si>
  <si>
    <t>BP2600270810201</t>
  </si>
  <si>
    <t>Imágenes digitalizadas de documentación
con organización archivística</t>
  </si>
  <si>
    <t>Organizar y depurar en un (100%) los documentos de archivos de gestión e inactivos de los organismos de la administración central</t>
  </si>
  <si>
    <t>Sistema de gestión documental implementado</t>
  </si>
  <si>
    <t>Estrategia de rendición de cuentas implementada</t>
  </si>
  <si>
    <t>Fortalecimiento de la política de rendición de cuentas en la alcaldía de Santiago de Cali</t>
  </si>
  <si>
    <t>BP26002712</t>
  </si>
  <si>
    <t>BP2600271210101</t>
  </si>
  <si>
    <t>Asistir técnicamente a (26) organismos para apropiación de los lineamientos de la Política de Rendición de Cuentas en la Alcaldía de Santiago de Cali</t>
  </si>
  <si>
    <t>BP2600271210201</t>
  </si>
  <si>
    <t>Elaborar (1) documento metodológicos de implementación de la Política de Rendición de Cuentas en la Alcaldía de Santiago de Cali</t>
  </si>
  <si>
    <t>Cali, Inteligente para la Vida</t>
  </si>
  <si>
    <t>Instituciones Educativas Oficiales con infraestructura de red y datos adecuada</t>
  </si>
  <si>
    <t>Actualización de la red de datos de las Instituciones Educativas Oficiales de Santiago de Cali</t>
  </si>
  <si>
    <t xml:space="preserve">Secretaría de Educación Distrital - Subsecretaría de Planeación Sectorial </t>
  </si>
  <si>
    <t>BP2600294510201</t>
  </si>
  <si>
    <t xml:space="preserve">Beneficiar a 158793 estudiantes de las 92 IEO, con acceso a  conectividad a internet </t>
  </si>
  <si>
    <t>Estudiantes con acceso a contenidos web en el establecimiento educativo</t>
  </si>
  <si>
    <t>Distrito Reconciliado</t>
  </si>
  <si>
    <t>Derechos Humanos, Paz y Reconciliación</t>
  </si>
  <si>
    <t xml:space="preserve">Sedes de las IEO con programa de mediación escolar implementado y funcionando </t>
  </si>
  <si>
    <t>Implementación del programa de mediación escolar en las sedes educativas de Santiago de Cali</t>
  </si>
  <si>
    <t>Secretaría de Educación Distrital - Subsecretaría de Calidad Educativa</t>
  </si>
  <si>
    <t>BP2600268810101</t>
  </si>
  <si>
    <t>Establecer estrategias de resolución de conflictos en 30 Sedes educativas</t>
  </si>
  <si>
    <t>Entidades territoriales con estrategias para la prevención de riesgos sociales en los entornos escolares implementadas</t>
  </si>
  <si>
    <t>BP2600268810201</t>
  </si>
  <si>
    <t>Cantidad de sedes educativas en las que se ha implementado el programa de mediación escolar</t>
  </si>
  <si>
    <t>Asistir a 30 Comunidades (Sedes de IEO) tecnicamente para la implementación y funcionamiento de un programa de mediación escolar</t>
  </si>
  <si>
    <t>Comunidades asistidas técnicamente</t>
  </si>
  <si>
    <t>Cali Distrito Previene las Violencias</t>
  </si>
  <si>
    <t>Instituciones Educativas Oficiales que cuentan con apoyo psicosocial para la salud mental y prevención de los diferentes tipos de violencia</t>
  </si>
  <si>
    <t>Fortalecimiento de las IEO con apoyo psicosocial para la salud mental y prevención de los diferentes tipos de violencia en Cali</t>
  </si>
  <si>
    <t>BP2600270310101</t>
  </si>
  <si>
    <t>Instituciones Educativas Oficiales que cuentan con apoyo psicosocial para la salud mental y prevención de los diferentes tipos de violencia.</t>
  </si>
  <si>
    <t>Asistir a 92 Comunidades (IEO) tecnicamente con apoyo psicosocial para la salud mental y prevención de los diferentes tipos de violencia</t>
  </si>
  <si>
    <t>Fortalecimiento de Sistemas Locales de Justicia y Penitenciarios</t>
  </si>
  <si>
    <t>Jóvenes vinculados al sistema de responsabilidad penal con restitución del derecho a la educación</t>
  </si>
  <si>
    <t>Mejoramiento de la atención educativa de los jóvenes del Sistema de Responsabilidad Penal Adolescente en Santiago de Cali</t>
  </si>
  <si>
    <t>Secretaría de Educación Distrital - Subsecretaría de Cobertura Educativa</t>
  </si>
  <si>
    <t>BP2600371110101</t>
  </si>
  <si>
    <t>Realizar diseño y elaboración de 1 material educativo adaptado a las necesidades de los estudiantes pertenecientes al SRPA</t>
  </si>
  <si>
    <t xml:space="preserve">Contenidos educativos para la educación inicial, preescolar, básica y media producidos </t>
  </si>
  <si>
    <t>BP2600371110201</t>
  </si>
  <si>
    <t>Capacitar a 26 docentes en estrategias educativas pertinentes para la atención de la población de SRPA</t>
  </si>
  <si>
    <t>Docentes y agentes educativos  de educación inicial, preescolar, básica y media beneficiados con estrategias de mejoramiento de sus capacidades</t>
  </si>
  <si>
    <t>BP2600371110301</t>
  </si>
  <si>
    <t>No. De estudiantes del SRPA atendidos</t>
  </si>
  <si>
    <t>Fortalecer la atención educativa  a los 458 adolescentes y jóvenes pertenecientes a la población del SRPA por medio de capacitaciones y dotaciones.</t>
  </si>
  <si>
    <t>Estrategias de protección para el restablecimiento de derechos implementadas</t>
  </si>
  <si>
    <t>Poblaciones Construyendo Territorio</t>
  </si>
  <si>
    <t>Desarrollando Capacidades, Promoviendo Oportunidades a Población en Situación de Discapacidad</t>
  </si>
  <si>
    <t xml:space="preserve">Estudiantes con discapacidad y capacidades o talentos excepcionales vinculados a educación inclusiva forma, educación para el trabajo y el desarrollo humano y educación adecuada para la integración </t>
  </si>
  <si>
    <t>Fortalecimiento de la atención integral a la población con discapacidad y capacidad y/o talento excepcional para la permanencia en el sistema educativo de Cali</t>
  </si>
  <si>
    <t>BP2600256410101</t>
  </si>
  <si>
    <t>No. de estudiantes con Discapacidad, capacidades y/o talentos excepcionales vinculados al sistema educativo Oficial de Santiago de Cali</t>
  </si>
  <si>
    <t>Beneficiar a 3351 personas con discapacidad y capacidades o talentos excepcionales con estrategías de permanencia</t>
  </si>
  <si>
    <t>Personas  beneficiarias de estrategias de permanencia</t>
  </si>
  <si>
    <t>01/03/2024</t>
  </si>
  <si>
    <t>BP2600256410102</t>
  </si>
  <si>
    <t>Beneficiar a 60 docentes y agentes educativos  de educación inicial, preescolar, básica y media con estrategias de mejoramiento de sus capacidades</t>
  </si>
  <si>
    <t>BP2600256410201</t>
  </si>
  <si>
    <t>Beneficiar a 679  jóvenes con discapacidad, en la modalidad de Educación adecuada para la integración social y en la modalidad de Educación para el trabajo y el desarrollo humano</t>
  </si>
  <si>
    <t>Personas beneficiadas con procesos de formación informal</t>
  </si>
  <si>
    <t>Intervenciones (Mantenimiento, adecuación de infraestructura) realizadas a sedes educativas</t>
  </si>
  <si>
    <t>Mejoramiento a la Infraestructura física de las Sedes Educativas Oficiales para las vigencias 2024-2028 en Santiago de Cali</t>
  </si>
  <si>
    <t>Secretaría de Educación Distrital- Subsecretaría de Planeacion Sectorial</t>
  </si>
  <si>
    <t>BP2600470110102</t>
  </si>
  <si>
    <t>Sedes Educativas con intervenciones en mantenimiento o adecuaciones</t>
  </si>
  <si>
    <t>Mejorar la infraestructura de 13 sedes educativas oficiales de Santiago de Cali</t>
  </si>
  <si>
    <t>Sedes educativas mejoradas</t>
  </si>
  <si>
    <t>Mejoramiento de la infraestructura en las Sedes Educativas Oficiales de la Comuna 7 de Santiago de Cali</t>
  </si>
  <si>
    <t>BP2600484010101</t>
  </si>
  <si>
    <t>Sedes educativas intervenidas y mejoradas</t>
  </si>
  <si>
    <t>Realizar el mejoramiento de las áreas escolares en la IEO Siete de Agosto - Sede Principal</t>
  </si>
  <si>
    <t xml:space="preserve">Sedes educativas mejoradas </t>
  </si>
  <si>
    <t>Mejoramiento de la infraestructura en las Sedes Educativas Oficiales de la Comuna 8 de Santiago de Cali</t>
  </si>
  <si>
    <t>BP2600486110101</t>
  </si>
  <si>
    <t>Realizar el mejoramiento de las áreas escolares de la Sede Educativa Manuel Rebolledo y  la Sede Educativa Nuestra Señora de Fátima</t>
  </si>
  <si>
    <t>Mejoramiento de la infraestructura en las Sedes Educativas Oficiales de la Comuna 18 de Santiago de Cali</t>
  </si>
  <si>
    <t>BP2600487010101</t>
  </si>
  <si>
    <t>Realizar el mejoramiento de las áreas escolares en la Sede principal de la IEO Álvaro Echeverry Perea, Sedes educativas Magdalena Ortega de Nariño,  Monseñor Luis Adriano Díaz y Jhon F Kennedy</t>
  </si>
  <si>
    <t>Mejoramiento de la infraestructura en las Sedes Educativas Oficiales del Corregimiento Montebello de Santiago de Cali</t>
  </si>
  <si>
    <t>BP2600487210101</t>
  </si>
  <si>
    <t>Realizar el mejoramiento de las áreas escolares  en  la  IEO Montebello  Sede Principal y Sede San Pedro Apóstol</t>
  </si>
  <si>
    <t>Mejoramiento de la infraestructura en las Sedes Educativas Oficiales de la Comuna 15 de Santiago de Cali</t>
  </si>
  <si>
    <t>BP26004873</t>
  </si>
  <si>
    <t>BP2600487310101</t>
  </si>
  <si>
    <t>Realizar el mejoramiento de las  área escolares en las Sedes Educativas Alfonso Bonilla Naar , Sede Educativa Niño Jesus de Atocha, y Sede Principal  de la IEO Ciudad Cordoba</t>
  </si>
  <si>
    <t>Mejoramiento de la infraestructura en las Sedes Educativas Oficiales del Corregimiento El Hormiguero de Santiago de Cali</t>
  </si>
  <si>
    <t>BP2600488010101</t>
  </si>
  <si>
    <t>Realizar el mejoramiento de las áreas escolares en la Sede Educativa Tulia Borrero Mercado del Corregimiento de El Hormiguero</t>
  </si>
  <si>
    <t>Mejoramiento de la infraestructura en las Sedes Educativas Oficiales de la Comuna 20 de Santiago de Cali</t>
  </si>
  <si>
    <t>BP26004890</t>
  </si>
  <si>
    <t>BP2600489010101</t>
  </si>
  <si>
    <t xml:space="preserve">Realizar el mejoramiento de las áreas escolares en la Sede Educativa Simón Bolívar y la Sede Educativa Antonia Santos </t>
  </si>
  <si>
    <t>Mejoramiento de la infraestructura en las Sedes Educativas Oficiales del Corregimiento La Elvira de Santiago de Cali</t>
  </si>
  <si>
    <t>BP26004892</t>
  </si>
  <si>
    <t>BP2600489210101</t>
  </si>
  <si>
    <t>Realizar el mejoramiento en las áreas escolares de la Sede Educativa Boyacá en el Corregimiento La Elvira</t>
  </si>
  <si>
    <t>Mejoramiento de la infraestructura en las Sedes Educativas Oficiales de la Comuna 19 de Santiago de Cali</t>
  </si>
  <si>
    <t>BP26004893</t>
  </si>
  <si>
    <t>BP2600489310101</t>
  </si>
  <si>
    <t xml:space="preserve">Realizar el mejoramiento de las áreas escolares en la IEO Multipropósito - Sede Principal, y en la IEO Liceo Departamental - Sede Principal </t>
  </si>
  <si>
    <t>Mejoramiento de la infraestructura en las Sedes Educativas Oficiales de la Comuna 2 de Santiago de Cali</t>
  </si>
  <si>
    <t>BP26004894</t>
  </si>
  <si>
    <t>BP2600489410101</t>
  </si>
  <si>
    <t xml:space="preserve">Realizar el mejoramiento de los espacios escolares de la Sede Educativa Inmaculada de Bataclan; Sede Educativa Brisas de los Álamos, y  la Sede Educativa República de Brasil </t>
  </si>
  <si>
    <t>Mejoramiento de la infraestructura de las Sedes Educativas Oficiales de la Comuna 4 de Santiago de Cali</t>
  </si>
  <si>
    <t>BP2600485010101</t>
  </si>
  <si>
    <t>Realizar el mejoramiento del área escolar en la IEO José Antonio Galan - Sede Principal y la IEO La Merced - Sede CENDOE</t>
  </si>
  <si>
    <t>Mejoramiento de la infraestructura en las Sedes Educativas Oficiales de la Comuna 3 de Santiago de Cali</t>
  </si>
  <si>
    <t>BP2600489110101</t>
  </si>
  <si>
    <t>Realizar el mejoramiento del área escolar en la IEO Santa Librada - Sede Eustaquio Palacios IEO Normal Superior Farallones - Sede Manuel Sinisterra y Sede Martin Restrepo Mejía</t>
  </si>
  <si>
    <t>Mejoramiento de la infraestructura en las Sedes Educativas Oficiales de la Comuna 6 de Santiago de Cali</t>
  </si>
  <si>
    <t>BP2600490010101</t>
  </si>
  <si>
    <t>Realizar el mejoramiento del área escolar en la Sede Cecilia Muñoz Ricaurte y la Sede Pablo Emilio Caicedo en la Comuna 6</t>
  </si>
  <si>
    <t xml:space="preserve">Distrito Educador </t>
  </si>
  <si>
    <t xml:space="preserve">La Escuela me acoge </t>
  </si>
  <si>
    <t>Estudiantes en condición de vulnerabilidad beneficiarios de paquetes escolares</t>
  </si>
  <si>
    <t>Dotación de paquetes escolares para las instituciones educativas oficiales con matricula de población vulnerable de Santiago de  Cali</t>
  </si>
  <si>
    <t>BP2600268010101</t>
  </si>
  <si>
    <t>Estudiantes en condición de vulnerabilidad beneficiados con la estrategia de paquetes escolares</t>
  </si>
  <si>
    <t xml:space="preserve">Dotar con paquetes escolares a 9075 estudiantes en situacion de vulneravilidad vinculadas a las Instituciones Educativas Oficiales (IEO) </t>
  </si>
  <si>
    <t>Personas beneficiarias de estrategias de permanencia</t>
  </si>
  <si>
    <t>Población en edad escolar matriculada en el sistema educativo oficial de Santiago de Cali</t>
  </si>
  <si>
    <t>Administración del pago de la nómina permanente y temporal del personal docente directivo docente y administrativo de las instituciones educativas oficiales de Santiago de Cali</t>
  </si>
  <si>
    <t>Secretaría de Educación Distrital - Subsecretaría Administrativa y Financiera</t>
  </si>
  <si>
    <t>BP2600469010101</t>
  </si>
  <si>
    <t>Número de Estudiantes matriculados en el Sistema Educativo Oficial de Santiago de Cali atendido a través de la planta de personal docente, Directivo Docente y Administrativos</t>
  </si>
  <si>
    <t>Garantizar la operación de las 92 instituciones educativas de Santiago de Cali</t>
  </si>
  <si>
    <t>Establecimientos educativos en operación</t>
  </si>
  <si>
    <t>BP2600469010102</t>
  </si>
  <si>
    <t>Vincular a 62 docentes del nivel inicial, preescolar, básica o media de planta temporal</t>
  </si>
  <si>
    <t>Docentes del nivel inicial, preescolar, básica o media contratados</t>
  </si>
  <si>
    <t>Fortalecimiento del acceso al sistema educativo oficial en Santiago de  Cali</t>
  </si>
  <si>
    <t>BP2600303810401</t>
  </si>
  <si>
    <t>Estudiantes vinculados al sistema educativo oficial en los niveles de preescolar, básica primaria, secundaria y media</t>
  </si>
  <si>
    <t xml:space="preserve">Beneficiar a 59.414 personas con estrategias de fomento para el acceso a la educación inicial, preescolar, básica y media. </t>
  </si>
  <si>
    <t xml:space="preserve">Personas beneficiadas con estrategias de fomento para el acceso a la educación inicial, preescolar, básica y media. </t>
  </si>
  <si>
    <t>07/02/2024</t>
  </si>
  <si>
    <t>08/12/2024</t>
  </si>
  <si>
    <t>El avance de 15% en el producto corresponde al inicio de ejecución en la prestación del servicio educativo mediante 108 contratos suscritos,  prestación del servicio educativo para  42173 estudiantes,  beneficiados con estrategias de cobertura contratada.</t>
  </si>
  <si>
    <t>Mejoramiento en la administración de los fondos de servicios educativos y gratuidad de Cali</t>
  </si>
  <si>
    <t>BP2600329310101</t>
  </si>
  <si>
    <t>Brindar asesoría, apoyo y seguimiento a las 92 IEO de la Secretaría de Educación en el manejo de los fondos de servicios educativos</t>
  </si>
  <si>
    <t xml:space="preserve">Entidades territoriales con seguimiento y evaluación a la gestión. </t>
  </si>
  <si>
    <t>BP2600329310201</t>
  </si>
  <si>
    <t>Beneficiar a 168858  estudiantes con estrategias de fomento para el acceso a la educación inicial, preescolar, básica y media</t>
  </si>
  <si>
    <t>Personas beneficiadas con estrategias de fomento para el acceso a la educación inicial, preescolar, básica y media</t>
  </si>
  <si>
    <t>Apoyo en el pago de los servicios públicos de las I.E.O. de la zona urbana del Distrito de Santiago de Cali</t>
  </si>
  <si>
    <t>BP2600420010101</t>
  </si>
  <si>
    <t xml:space="preserve">Realizar el Pago de servicios publicos a 92 Instituciones Educativas Oficiales  para su operacion </t>
  </si>
  <si>
    <t>El avance de 25% del producto corresponde al  pago de los consumos de las Instituciones Educativa.</t>
  </si>
  <si>
    <t>Mejoramiento de las condiciones de la planta física y de servicios públicos de las IEO de Santiago de Cali</t>
  </si>
  <si>
    <t>BP2600309510101</t>
  </si>
  <si>
    <t>Realizar pago de arrendamientos y servicios públicos a 25 sedes de IEO para su operación</t>
  </si>
  <si>
    <t>Fortalecimiento a la Gestión Administrativa de la Secretaria de Educación de Santiago de Cali</t>
  </si>
  <si>
    <t>BP2600370810101</t>
  </si>
  <si>
    <t>Mejorar la gestión de la Secretaria de Educación en la prestación del servicio educativo a las 92 IEO</t>
  </si>
  <si>
    <t>Fortalecimiento del ejercicio de la función de Inspección, Vigilancia, y Control de los establecimientos de educación formal, informal y, educación para el trabajo y el desarrollo humano en Santiago de Cali</t>
  </si>
  <si>
    <t>Despacho</t>
  </si>
  <si>
    <t>BP2600470210201</t>
  </si>
  <si>
    <t>Realizar Inspeccion, vigilancia y control a 152 Establecimientos Educativos</t>
  </si>
  <si>
    <t>Entidades del sector educativo con inspección, vigilancia y control</t>
  </si>
  <si>
    <t>Estudiantes de las IEO con estrategia de transporte escolar</t>
  </si>
  <si>
    <t>Prestación del servicio de transporte escolar a la población estudiantil de las IEO de Cali</t>
  </si>
  <si>
    <t>BP2600257310101</t>
  </si>
  <si>
    <t>Atender a 22777 estudiantes con servicio de Transporte Escolar</t>
  </si>
  <si>
    <t>Beneficiarios de transporte escolar (Estudiantes)</t>
  </si>
  <si>
    <t>BP2600257310201</t>
  </si>
  <si>
    <t>Realizar seguimiento a la estrategia de transporte escolar en las  67 IEO</t>
  </si>
  <si>
    <t>Entidades asistidas técnicamente  (IEO con seguimiento estrategia transpote escolar)</t>
  </si>
  <si>
    <t>Instituciones educativas oficiales dotadas</t>
  </si>
  <si>
    <t>Mejoramiento del equipamiento y dotación para las IEO de Santiago de  Cali</t>
  </si>
  <si>
    <t>BP26003088</t>
  </si>
  <si>
    <t>BP2600308810101</t>
  </si>
  <si>
    <t>Instituciones Educativas Oficiales dotadas</t>
  </si>
  <si>
    <t>Dotar de mobiliario y equipos a los ambientes de aprendizaje de 5 sedes educativas</t>
  </si>
  <si>
    <t>Ambientes de aprendizaje dotados</t>
  </si>
  <si>
    <t xml:space="preserve">Dotación de equipamiento tecnológico y mobiliario escolar en las sedes de las Instituciones Educativa Oficiales de la Comuna 8 de Santiago de Cali </t>
  </si>
  <si>
    <t>BP2600379210101</t>
  </si>
  <si>
    <t>Dotar con equipamiento tecnológico,  mobiliario pedagogico y maquinaria electrica las 7 sedes priorizadas de 7 IEO de la Comuna 8</t>
  </si>
  <si>
    <t>Sedes dotadas</t>
  </si>
  <si>
    <t>Dotación de equipamiento escolar en las sedes de las Instituciones Educativas Oficiales de la Comuna 9 de Santiago de Cali</t>
  </si>
  <si>
    <t>BP2600407410101</t>
  </si>
  <si>
    <t>Dotar con equipamiento tecnológico,  mobiliario pedagogico y maquinaria electrica las 3 sedes priorizadas de las IEO de la Comuna 9</t>
  </si>
  <si>
    <t>Sede dotada</t>
  </si>
  <si>
    <t>Dotación de equipos tecnológicos e implementos educativos para las Sedes  de las Instituciónes Educativas Oficiales de la Comuna 6  de Santiago de Cali.</t>
  </si>
  <si>
    <t>BP2600486210101</t>
  </si>
  <si>
    <t>Dotar con equipamiento tecnológico,  a la Institución Educativa Oficial Pedro Antonio Molina sede principal y la Sede Cecilia Muñoz Ricaurte de la Comuna 6</t>
  </si>
  <si>
    <t>Dotación de equipos tecnológicos e implementos educativos para las Instituciones Educativas Oficiales de la Comuna 3 de Santiago de Cali</t>
  </si>
  <si>
    <t>BP2600435510101</t>
  </si>
  <si>
    <t>Dotar con equipos tecnológicos e implementos escolares a la sede de la IEO de Santa Librada y IEO Normal Superior Farallones. Comuna 3</t>
  </si>
  <si>
    <t>Dotación de equipos tecnológicos e implementos educativos a las sedes de las Instituciones Educativas Oficiales de la Comuna 20 de Santiago de Cali</t>
  </si>
  <si>
    <t>BP2600445110101</t>
  </si>
  <si>
    <t>Dotar con equipos tecnológicos, implementos educativos y mobiliario escolar a 3 sedes educativas de las IEO de la Comuna 20</t>
  </si>
  <si>
    <t>Dotación de equipos tecnológicos e implementos educativos para las Instituciones Educativas Oficiales de la Comuna 16 de Santiago de Cali</t>
  </si>
  <si>
    <t>BP2600487110101</t>
  </si>
  <si>
    <t>Realizar la dotación de equipos de computos a 3 IEO y  de equipos tecnológicos a 2 IEO de la comuna 16</t>
  </si>
  <si>
    <t>Dotación de equipos audiovisuales y mobiliario escolar en las sedes de las Instituciones Educativas Oficiales del corregimiento el Hormiguero - Comuna 52 de Santiago de Cali</t>
  </si>
  <si>
    <t>BP2600491110101</t>
  </si>
  <si>
    <t>Dotar con equipos audiovisuales y moviliario a 4 Sedes de la IEO el Hormiguero</t>
  </si>
  <si>
    <t xml:space="preserve">Sedes dotadas
</t>
  </si>
  <si>
    <t>Estudiantes matriculados en las IEO con complementos alimentarios</t>
  </si>
  <si>
    <t>Fortalecimiento del programa de alimentación escolar para los estudiantes de las IEO de Santiago de Cali</t>
  </si>
  <si>
    <t>BP2600267910101</t>
  </si>
  <si>
    <t>Estudiantes de las Instituciones Educativas Oficiales beneficiados con Programa de Alimentación Escolar</t>
  </si>
  <si>
    <t>Suministrar  22.051.710 complementos alimentarios al 100% de los estudiantes focalizados en la matricula oficial</t>
  </si>
  <si>
    <t>Raciones contratadas (estudiantes beneficiados)</t>
  </si>
  <si>
    <t>BP2600267910201</t>
  </si>
  <si>
    <t>Realizar apoyo a la supervisión y control al programa de alimentacion escolar y 92 IEO</t>
  </si>
  <si>
    <t>Entidades asistidas técnicamente</t>
  </si>
  <si>
    <t>Potencializando Saberes y Transformando Vidas</t>
  </si>
  <si>
    <t xml:space="preserve">Estudiantes beneficiados con programas de articulación con Instituciones de Educación Superior, de la formación técnica, Tecnológica, para el trabajo y el desarrollo humano (ETDH) </t>
  </si>
  <si>
    <t>Desarrollo de estrategias para la articulación de los niveles educativos en los trayectos pedagógicos en Santiago de Cali</t>
  </si>
  <si>
    <t>BP2600279620201</t>
  </si>
  <si>
    <t>Servicio de fomento para el acceso a la educación superior o terciaria</t>
  </si>
  <si>
    <t>Apoyar financieramente a 213 beneficiarios para el acceso y permanencia en la educaciòn superior o terciaria</t>
  </si>
  <si>
    <t xml:space="preserve">Beneficiarios de estrategias o programas de apoyo financiero para la permanencia en la educación superior o terciaria </t>
  </si>
  <si>
    <t>Implementación de estrategias de acceso a la educación para el trabajo y/o educación superior para jóvenes de Santiago de  Cali</t>
  </si>
  <si>
    <t>BP2600389810101</t>
  </si>
  <si>
    <t>Jóvenes que son beneficiados con estrategias de acceso a la Educación para el Trabajo y/o Educación Superior</t>
  </si>
  <si>
    <t>Beneficiar a 1000 estudiantes con apoyo financiero para el acceso y permanencia en la educación superior  o terciaria</t>
  </si>
  <si>
    <t>Beneficiarios de estrategias o programas de fomento para el acceso a la educación superior o terciaria</t>
  </si>
  <si>
    <t>Tejiendo Redes</t>
  </si>
  <si>
    <t xml:space="preserve">Instituciones educativas que promueven el fortalecimiento de sus prácticas pedagógicas desde un enfoque de ciudad en el marco de sus currículos </t>
  </si>
  <si>
    <t xml:space="preserve">Fortalecimiento de prácticas pedagogicas y curriculares en contexto de Ciudad en Santiago de Cali </t>
  </si>
  <si>
    <t>BP2600303310101</t>
  </si>
  <si>
    <t>Realizar procesos de formación docente a 46 IEO en relación con las prácticas de enseñanza</t>
  </si>
  <si>
    <t xml:space="preserve">Personas capacitadas con programas de educación informal </t>
  </si>
  <si>
    <t>BP2600303310201</t>
  </si>
  <si>
    <t>Instituciones Educativas Oficiales con docentes que fortalecen sus prácticas pedagógicas en relación con el currículo.</t>
  </si>
  <si>
    <t>Acompañar 46 IEO en el fortalecimiento de sus prácticas pedagógicas y el desarrollo de propuestas curriculares flexibles</t>
  </si>
  <si>
    <t>Entidades y organizaciones asistidas técnicamente</t>
  </si>
  <si>
    <t>BP2600303310301</t>
  </si>
  <si>
    <t>Realizar un (1) documentos reflexivo pedagógico y curricular</t>
  </si>
  <si>
    <t xml:space="preserve">Construyendo un Distrito Lector </t>
  </si>
  <si>
    <t>IEO que fortalecen en el Distrito los planes de lectura, escritura y oralidad desde la educación Inicial hasta la media</t>
  </si>
  <si>
    <t xml:space="preserve"> Fortalecimiento de la lectura escritura y oralidad en las IEO de Cali</t>
  </si>
  <si>
    <t>BP2600292610101</t>
  </si>
  <si>
    <t>Apoyar la elaboración de los planes de lectura, escritura y oralidad en 92IEO</t>
  </si>
  <si>
    <t xml:space="preserve">Entidades o instituciones asistidas técnicamente en innovación educativa
</t>
  </si>
  <si>
    <t>BP2600292610301</t>
  </si>
  <si>
    <t>IEO que desarrollan planes de lectura, escritura y oralidad.</t>
  </si>
  <si>
    <t>Apoyar la implementación de planes de lectura, escritura y oralidad en 92 IEO</t>
  </si>
  <si>
    <t xml:space="preserve">Establecimientos educativos apoyados para la implementación de modelos de innovación educativa
</t>
  </si>
  <si>
    <t>Bibliotecas escolares abiertas y articuladas con el sistema de bibliotecas públicas comunitarias vinculadas con procesos formativos y culturales</t>
  </si>
  <si>
    <t>Implementación de una red bibliotecas escolares articuladas con el sistema de bibliotecas públicas comunitarias de Santiago de Cali</t>
  </si>
  <si>
    <t>Secretaría de Educación Distrital- Subsecretaría de Calidad Educativa</t>
  </si>
  <si>
    <t>BP2600293110101</t>
  </si>
  <si>
    <t>Dotar 14 bibliotecas escolares de colecciones bibliográficas, mobiliario y recursos educativos que aporten a formas de enseñanza y aprendizaje innovadoras</t>
  </si>
  <si>
    <t>BP2600293110201</t>
  </si>
  <si>
    <t>Bibliotecas escolares abiertas y articuladas con el sistema de bibliotecas públicas comunitarias vinculadas con procesos formativos y culturales.</t>
  </si>
  <si>
    <t>Apoyar en la implementación en 14 establecimientos educativos (IEO) de modelos de innovación educativa</t>
  </si>
  <si>
    <t>Establecimientos educativos apoyados para la  implementación de modelos de innovación educativos</t>
  </si>
  <si>
    <t>BP2600293110301</t>
  </si>
  <si>
    <t>Asistir tecnicamente a 14 instituciones (IEO) en innovación educativa</t>
  </si>
  <si>
    <t xml:space="preserve">Entidades o instituciones asistidas técnicamente en innovación educativa </t>
  </si>
  <si>
    <t>Gestión de la Educación</t>
  </si>
  <si>
    <t>IEO fortalecidas en competencias comunicativas en lengua extranjera-Inglés</t>
  </si>
  <si>
    <t>Fortalecimiento en competencias comunicativas en lengua extranjera-Inglés en las Instituciones Educativas Oficiales de Santiago de Cali</t>
  </si>
  <si>
    <t>BP2600481910101</t>
  </si>
  <si>
    <t>Instituciones Educativas Oficiales fortalecidas en competencia comunicativa intercultural</t>
  </si>
  <si>
    <t>Realizar asistencia técnica a las 92 Instituciones Educativas Oficiales para el fomento del desarrollo de la Competencia Comunicativa Intercultural</t>
  </si>
  <si>
    <t xml:space="preserve">Entidades y organizaciones asistidas técnicamente
</t>
  </si>
  <si>
    <t>BP2600481910102</t>
  </si>
  <si>
    <t>Dotar a 24 Instituciones Educativas Oficiales de equipos tecnológicos para facilitar el aprendizaje de la lengua</t>
  </si>
  <si>
    <t xml:space="preserve">Sedes Dotadas
</t>
  </si>
  <si>
    <t>BP2600481910103</t>
  </si>
  <si>
    <t>Implementar el desarrollo de los ambientes de aprendizaje en las 4 Instituciones Educativas Oficiales</t>
  </si>
  <si>
    <t xml:space="preserve">Ambientes de Aprendizaje dotados
</t>
  </si>
  <si>
    <t>BP2600481910201</t>
  </si>
  <si>
    <t xml:space="preserve">Formar a 400 docentes y agentes educativos en la Competencia Comunicativa Intercultural </t>
  </si>
  <si>
    <t xml:space="preserve">Docentes y agentes educativos de educación inicial, preescolar, básica y media beneficiados con estrategias de mejoramiento de sus capacidades
</t>
  </si>
  <si>
    <t>BP2600481910301</t>
  </si>
  <si>
    <t>Fortalecer 2550 estudiantes de preescolar y básica primaria en competencias comunicativas en segunda lengua con activadades curriculares y extracurriculares</t>
  </si>
  <si>
    <t>Estudiantes beneficiados con estrategias de promoción del bilingüismo</t>
  </si>
  <si>
    <t xml:space="preserve">Revisión, ajuste y promulgación de la política pública de bilingüismo </t>
  </si>
  <si>
    <t>Elaboración de ajustes y divulgación del Documento para la Política Pública de Bilingüismo de Santiago de Cali</t>
  </si>
  <si>
    <t>BP2600299610101</t>
  </si>
  <si>
    <t xml:space="preserve">Documento de Política Pública ajustado y
promulgado
</t>
  </si>
  <si>
    <t>Avanzar en un 100% la revision y ajuste del proyecto de acuerdo de la Política pública de Bilingüismo.</t>
  </si>
  <si>
    <t xml:space="preserve">Documentos de lineamientos técnicos en educación inicial, preescolar, básica y media expedidos
</t>
  </si>
  <si>
    <t>BP2600299610201</t>
  </si>
  <si>
    <t>Realizar 4 reuniones del comité bilingüe y otras organizaciones con el fin de acordar acciones comunes que permitan una óptima implementación de la Política Pública de Bilingüismo.</t>
  </si>
  <si>
    <t xml:space="preserve">Procesos de socialización de lineamientos, política y normativa para la educación inicial, preescolar, básica y media realizados 
</t>
  </si>
  <si>
    <t xml:space="preserve">Lineamientos para la creación del observatorio de educación </t>
  </si>
  <si>
    <t>Implementación del Observatorio de la Educación del Distrito Especial de Santiago de Cali</t>
  </si>
  <si>
    <t>BP2600470010101</t>
  </si>
  <si>
    <t xml:space="preserve">Porcentaje de avance en la implementación del Observatorio de la Educación
</t>
  </si>
  <si>
    <t>Elaborar documento de investigación analítica del sector educativo</t>
  </si>
  <si>
    <t xml:space="preserve">Documentos realizados
</t>
  </si>
  <si>
    <t>BP2600470010201</t>
  </si>
  <si>
    <t xml:space="preserve">Elaborar documento con información sistematizada mediante aplicación de nuevas herramientas metodológicas y tecnológicas.
</t>
  </si>
  <si>
    <t xml:space="preserve">Documentos elaborados
</t>
  </si>
  <si>
    <t xml:space="preserve">Ruralidad Sustentable  </t>
  </si>
  <si>
    <t xml:space="preserve">Instituciones educativas rurales con acompañamiento para la resignificación de sus PIER desde la seguridad alimentaria, la diversidad ambiental y relaciones productivas </t>
  </si>
  <si>
    <t xml:space="preserve">Fortalecimiento de los proyectos Educativos Rurales </t>
  </si>
  <si>
    <t xml:space="preserve">Secretaría de Educación Distrital - Subsecretaría de Calidad Educativa
</t>
  </si>
  <si>
    <t>BP2600295010101</t>
  </si>
  <si>
    <t>Instituciones educativas rurales que resignifican sus PIER.</t>
  </si>
  <si>
    <t>Fortalecer los PIER de las 13 IEO rurales</t>
  </si>
  <si>
    <t>Establecimientos educativos beneficiados</t>
  </si>
  <si>
    <t>BP2600295010201</t>
  </si>
  <si>
    <t>Fortalecer las propuestas curriculares fexibles en los PIER de las 15 IEO</t>
  </si>
  <si>
    <t>Docentes y agentes educativos de educación inicial, preescolar, básica y media beneficiados con estrategias de mejoramiento de sus capacidades</t>
  </si>
  <si>
    <t>Proyectos definanciados</t>
  </si>
  <si>
    <t>Territorio Inteligente</t>
  </si>
  <si>
    <t>Cali Inteligente</t>
  </si>
  <si>
    <t xml:space="preserve">Central de Telecomunicaciones en Salud Fase 1 diseñada y construida  </t>
  </si>
  <si>
    <t>Implementación de un sistema integrado de información y gestión de la autoridad sanitaria en santiago de Cali</t>
  </si>
  <si>
    <t>BP26003697</t>
  </si>
  <si>
    <t>BP2600369710101</t>
  </si>
  <si>
    <t>Sistema integrado de información en salud pública diseñado y funcionando.</t>
  </si>
  <si>
    <t>Implementar un sistema de información.</t>
  </si>
  <si>
    <t>Secretaría de Salud Pública/Unidad de Apoyo</t>
  </si>
  <si>
    <t>Cali, solidaria por la Vida</t>
  </si>
  <si>
    <t xml:space="preserve">Distrito Reconciliado </t>
  </si>
  <si>
    <t xml:space="preserve">Cali Distrito Previene las Violencias </t>
  </si>
  <si>
    <t>Personas intervenidas con estrategia en salud para la promoción de la convivencia,  el fortalecimiento del tejido social y el abordaje de las violencias con perspetiva de genero, aumentadas</t>
  </si>
  <si>
    <t>Implementación de estrategias para la promoción de la convivencia, el fortalecimiento del tejido social y el abordaje de las violencias con perspectiva de género en santiago de cali</t>
  </si>
  <si>
    <t>BP26002702</t>
  </si>
  <si>
    <t>Secretaría de Salud Pública/Subsecretaria Promoción Prevención y Producción Social</t>
  </si>
  <si>
    <t>BP2600270210101</t>
  </si>
  <si>
    <t xml:space="preserve">Personas intervenidas con estrategias en salud para la promoción de la convivencia, el fortalecimiento del tejido social y el abordaje de las violencias, con perspectiva de género </t>
  </si>
  <si>
    <t>Capacitar 1000 personas en temas de exigibilidad de derechos en salud pública y prestación de servicios</t>
  </si>
  <si>
    <t>BP2600270210201</t>
  </si>
  <si>
    <t xml:space="preserve">Intervenir  650 personas en temas de promocion  y particiopacion social en materia de salud y seguridad social  </t>
  </si>
  <si>
    <t>Personas que participan en el ejercicio pleno de sus deberes y derechos en materia de salud y seguridad social en salud</t>
  </si>
  <si>
    <t>Capacitación a lideres en salud mental comunitaria Comuna 21 Santiago de Cali</t>
  </si>
  <si>
    <t>BP26003515</t>
  </si>
  <si>
    <t>Secretaría de Salud Pública/Subsecretaria Promoción Prevención y Producción Social de la Salud</t>
  </si>
  <si>
    <t>BP2600351510101</t>
  </si>
  <si>
    <t>Personas formados en Salud Mental comunitaria, convivencia social y exigibilidad de derechos en salud mental comuna 21</t>
  </si>
  <si>
    <t>Capacitar 45 personas en temas de salud pública, salud mental y prestación de servicios</t>
  </si>
  <si>
    <t>BP2600351510201</t>
  </si>
  <si>
    <t>Implementar 1 campaña de servicio de promoción en temas de salud mental y convivencia</t>
  </si>
  <si>
    <t>Campañas de promoción en temas de salud mental y convivencia implementadas</t>
  </si>
  <si>
    <t>Atención Integral a las Víctimas del Conflicto</t>
  </si>
  <si>
    <t>Personas víctimas del conflicto armado atendidas psicosocialmente y en salud integral.</t>
  </si>
  <si>
    <t>Fortalecimiento a los procesos de atención psicosocial y salud integral a personas víctimas del conflicto armado, sus familias y comunidades en santiago de cali</t>
  </si>
  <si>
    <t>BP26002848</t>
  </si>
  <si>
    <t>BP2600284810101</t>
  </si>
  <si>
    <t>Fortalecer el servicio de asistencia técnica en capacidades básicas y técnicas en salud  y  atención a víctimas del conflicto armado en 100 entidades</t>
  </si>
  <si>
    <t xml:space="preserve">Entidades fortalecidas en capacidades básicas y técnicas en salud
</t>
  </si>
  <si>
    <t>BP2600284810102</t>
  </si>
  <si>
    <t xml:space="preserve">Promocionar la participación social de 100 personas víctimas del conflicto armado en materia de salud </t>
  </si>
  <si>
    <t>BP2600284810201</t>
  </si>
  <si>
    <t>Personas víctimas del conflicto armado
atendidas psicosocialmente y en salud integral</t>
  </si>
  <si>
    <t>Atender psicosocialmente y en salud integral a 3000 personas víctimas del conflicto armado</t>
  </si>
  <si>
    <t xml:space="preserve">Personas atendida en acciones de promoción social para poblaciones vulnerables  
</t>
  </si>
  <si>
    <t>BP2600284810202</t>
  </si>
  <si>
    <t>Realizar 1 campaña en temas de salud mental y convivencia</t>
  </si>
  <si>
    <t>Cariños, Puro Corazón por la Primera Infancia</t>
  </si>
  <si>
    <t>Prestadores de servicios de salud que bridan atención de calidad a recién nacidos, aumentadas</t>
  </si>
  <si>
    <t>Fortalecimiento del modelo de atención integral en salud en menores de un año en santiago de cali</t>
  </si>
  <si>
    <t>BP26003404</t>
  </si>
  <si>
    <t>Secretaría de Salud Pública/Subsecretaría de Promoción, Prevención y Producción Social de la Salud.</t>
  </si>
  <si>
    <t>BP2600340410101</t>
  </si>
  <si>
    <t>Instituciones prestadoras de
salud, con asistencia técnica
recibida en la jurisdicción</t>
  </si>
  <si>
    <t>Brindar servicio de asistencia técnica a 20 instituciones prestadoras de Servicio de salud</t>
  </si>
  <si>
    <t>Instituciones Prestadoras de Salud con asistencia técnica recibida en la Jurisdicción</t>
  </si>
  <si>
    <t>BP2600340410201</t>
  </si>
  <si>
    <t xml:space="preserve">Realizar acompañamiemto a 1000 personas del sistema en  educación informal en temas de salud pública y prestación de servicios en la primera infancia </t>
  </si>
  <si>
    <t>Promoción, Prevención y Garantías de los Derechos de los Niños, Niñas, Adolescentes y Familias</t>
  </si>
  <si>
    <t xml:space="preserve">Dosis de vacuna del programa ampliado de inmunizaciones aplicadas </t>
  </si>
  <si>
    <t>Fortalecimiento de la estrategia de vacunación de santiago de cali</t>
  </si>
  <si>
    <t>BP26003296</t>
  </si>
  <si>
    <t>BP2600329610101</t>
  </si>
  <si>
    <t>Dosis de vacuna del Programa Ampliado de
Inmunizaciones aplicadas</t>
  </si>
  <si>
    <t xml:space="preserve">Distribuir 820487 biológicos, biosimilares y medicamentos de síntesis de interés en salud pública </t>
  </si>
  <si>
    <t>Unidades suministradas</t>
  </si>
  <si>
    <t>BP2600329610102</t>
  </si>
  <si>
    <t>Realizar asistencia técnica en 150 entidades en el fortalecimiento de capacidades básicas y técnicas en salud</t>
  </si>
  <si>
    <t>Entidades fortalecidas en capacidades básicas y técnicas en salud</t>
  </si>
  <si>
    <t>BP2600329610103</t>
  </si>
  <si>
    <t xml:space="preserve">Realizar 50 campañas de gestión del riesgo en enfermedades inmunoprevenibles </t>
  </si>
  <si>
    <t>Campañas de gestión del riesgo para enfermedades inmunoprevenibles  implementadas</t>
  </si>
  <si>
    <t>BP2600329610104</t>
  </si>
  <si>
    <t xml:space="preserve">Documentar 12 campañas de  de divulgación y comunicación de estrategias de salud y promoción social </t>
  </si>
  <si>
    <t>Campañas de promoción y prevención producidas</t>
  </si>
  <si>
    <t>BP2600329610105</t>
  </si>
  <si>
    <t>Elaborar 12 documentos de lineamientos técnicos</t>
  </si>
  <si>
    <t>Documentos lineamientos técnicos elaborados</t>
  </si>
  <si>
    <t>BP2600329610201</t>
  </si>
  <si>
    <t>Efectuar 12 publicaciones de los hallazgos, conclusiones y análisis de los resultados de monitoreo y evaluación anual.</t>
  </si>
  <si>
    <t>Publicaciones efectivamente presentadas anualmente en el distrito con los hallazgos, conclusiones  y análisis de los resultados de monitoreo y evaluación.</t>
  </si>
  <si>
    <t>Cali Distrito Joven: Conectados con la Ciudadanía Juvenil</t>
  </si>
  <si>
    <t xml:space="preserve">Jóvenes multiplicadores de derechos sexuales y reproductivos certificados con enfoque diferencial </t>
  </si>
  <si>
    <t>Fortalecimiento a la promoción de los derechos sexuales y reproductivos de los adolescentes y jóvenes en el Distrito de Santiago de Cali</t>
  </si>
  <si>
    <t>BP26004680</t>
  </si>
  <si>
    <t>BP2600468010101</t>
  </si>
  <si>
    <t>Servicio de educación informal en temas deb salud pública</t>
  </si>
  <si>
    <t xml:space="preserve">Capacitar 1000 adolescentes, jóvenes y su comunidad en derechos sexuales y reproductivos. </t>
  </si>
  <si>
    <t>BP2600468010201</t>
  </si>
  <si>
    <t>Realizar 50 asistencias técnicas a los adolescentes y jóvenes, en la ruta de promocion y mantenimiento de la salud enmarcado en los diferentes entornos.</t>
  </si>
  <si>
    <t xml:space="preserve">Asistencias técnicas realizadas </t>
  </si>
  <si>
    <t>BP2600468010301</t>
  </si>
  <si>
    <t>Implementar (1) estrategia de promoción de la salud en derechos sexuales y reproductivos en los adolescentes, jóvenes y su comunidad.</t>
  </si>
  <si>
    <t xml:space="preserve"> Estrategias de promoción de la salud implementadas</t>
  </si>
  <si>
    <t>Personas Mayores Envejeciendo  con Bienestar</t>
  </si>
  <si>
    <t>Personas con prácticas para el envejecimiento activo y la cultura positiva de la vejez aumentadas</t>
  </si>
  <si>
    <t xml:space="preserve">Fortalecimiento de prácticas saludables que promuevan el envejecimiento activo y la cultura positiva de la vejez en cali
</t>
  </si>
  <si>
    <t>BP26003036</t>
  </si>
  <si>
    <t>BP2600303610101</t>
  </si>
  <si>
    <t xml:space="preserve">Promocionar en 1000 personas de población vulnerable prácticas que promuevan la cultura positiva de la vejez y el envejecimiento activo </t>
  </si>
  <si>
    <t xml:space="preserve">Personas atendida en acciones de promoción social para poblaciones vulnerables
</t>
  </si>
  <si>
    <t>BP2600303610102</t>
  </si>
  <si>
    <t xml:space="preserve">Realizar 37 campañas de promoción de modos, condiciones y estilos de vida saludables
 </t>
  </si>
  <si>
    <t xml:space="preserve">Campañas de promoción de modos, condiciones y estilos de vida saludables implementadas
</t>
  </si>
  <si>
    <t>BP2600303610201</t>
  </si>
  <si>
    <t xml:space="preserve">Realizar en 30 entidades de salud, asistencia técnica en el fortalecimiento de capacidades básicas y técnicas en salud 
</t>
  </si>
  <si>
    <t>BP2600303610202</t>
  </si>
  <si>
    <t xml:space="preserve">Brindar asistencia  técnica a 60 Centros de protección social  con el adulto mayor </t>
  </si>
  <si>
    <t xml:space="preserve">Centros de protección social para el adulto mayor adecuados
</t>
  </si>
  <si>
    <t>Personas  con discapacidad y con enfermedades huerfanas intervenidas con la Estrategia de Rehabilitación Basada en la Comunidad -RBC- aumentadas</t>
  </si>
  <si>
    <t>Fortalecimiento de la atención integral en salud para las personas con discapacidad y personas con enfermedades huerfanas desde la estrategia de rehabilitación basada en la comunidad, en  cali</t>
  </si>
  <si>
    <t>BP26003410</t>
  </si>
  <si>
    <t>15/01/2024</t>
  </si>
  <si>
    <t>31/12/2024</t>
  </si>
  <si>
    <t>BP2600341010101</t>
  </si>
  <si>
    <t xml:space="preserve">Brindar asistencia técnica a 45  instituciones prestadoras de Servicio de salud </t>
  </si>
  <si>
    <t xml:space="preserve">Instituciones Prestadoras de Salud con asistencia técnica recibida en la Jurisdicción </t>
  </si>
  <si>
    <t>BP2600341010102</t>
  </si>
  <si>
    <t xml:space="preserve">Brindar asistencia técnica institucional a 40 actores del sector salud </t>
  </si>
  <si>
    <t>Entidades territoriales Empresas Prestadoras de Salud, Instituciones Prestadores de Servicio de Salud y Empresas Sociales del Estado  apoyadas técnicamente</t>
  </si>
  <si>
    <t>BP2600341010201</t>
  </si>
  <si>
    <t xml:space="preserve">Servicio de promoción social para poblaciones vulnerables </t>
  </si>
  <si>
    <t xml:space="preserve">Atender a 1900 personas con servicio de promoción social en  poblaciones vulnerables </t>
  </si>
  <si>
    <t>Personas atendida en acciones de promoción social  para poblaciones vulnerables</t>
  </si>
  <si>
    <t>BP2600341010202</t>
  </si>
  <si>
    <t xml:space="preserve">Capacitar 200 personas en  temas de salud pública y prestación de servicios </t>
  </si>
  <si>
    <t xml:space="preserve">Personas capacitadas </t>
  </si>
  <si>
    <t>BP2600341010301</t>
  </si>
  <si>
    <t xml:space="preserve">Implementar 5 campañas de promoción en temas de salud mental y convivencia </t>
  </si>
  <si>
    <t xml:space="preserve">Campañas de promoción en temas de salud mental y convivencia implementadas </t>
  </si>
  <si>
    <t>BP2600341010302</t>
  </si>
  <si>
    <t>Brindar asistencia técnica comunitaria a 15 organizaciones de personas con discapacidad</t>
  </si>
  <si>
    <t>Organizaciones de base apoyadas técnicamente</t>
  </si>
  <si>
    <t>CaliAfro</t>
  </si>
  <si>
    <t>Componente de fortalecimiento en salud propia, del modelo intercultural de cuidado en salud en población afrodescendiente, implementado</t>
  </si>
  <si>
    <t>Fortalecimiento de los sistemas propios de salud en población negra, afrodescendiente, raizal y palenquera de Cali</t>
  </si>
  <si>
    <t>BP26003338</t>
  </si>
  <si>
    <t>BP2600333810101</t>
  </si>
  <si>
    <t xml:space="preserve">Modelo intercultural de población afro en organizaciones de base,  fortalecidas y apoyadas técnicamente </t>
  </si>
  <si>
    <t>Apoyar técnicamente 5 organizaciones comunitarías afrodescendientes en la fases del modelo</t>
  </si>
  <si>
    <t xml:space="preserve">Organizaciones de base apoyadas técnicamente </t>
  </si>
  <si>
    <t>BP2600333810201</t>
  </si>
  <si>
    <t xml:space="preserve"> Implementar 4 campañas de promoción de modos, condiciones y estilos de vida saludables</t>
  </si>
  <si>
    <t xml:space="preserve">Campañas de promoción de modos, condiciones y estilos de vida saludables implementadas </t>
  </si>
  <si>
    <t>Tejiendo Identidad, para el Buen Vivir de la Población y Comunidades Indígenas</t>
  </si>
  <si>
    <t>Componente de fortalecimiento en salud propia, del modelo intercultural de cuidado en salud en población indígena, implementado</t>
  </si>
  <si>
    <t>Fortalecimiento de los saberes ancestrales culturales y espirituales de la salud propia de los cabildos indígenas de cali</t>
  </si>
  <si>
    <t>BP26003387</t>
  </si>
  <si>
    <t>BP2600338710101</t>
  </si>
  <si>
    <t xml:space="preserve"> Componente en salud propia de Organizaciones Indígenas implementado</t>
  </si>
  <si>
    <t xml:space="preserve">Apoyar tecnicamente a 9 organizaciones indigenas de base </t>
  </si>
  <si>
    <t>BP2600338710102</t>
  </si>
  <si>
    <t xml:space="preserve">Capacitar 150 personas  en temas de salud pública y prestación de servicios </t>
  </si>
  <si>
    <t>BP2600338710201</t>
  </si>
  <si>
    <t>Implementar 9 campañas de promoción de vida saludable y condiciones no transmisibles</t>
  </si>
  <si>
    <t>Campañas de promoción de vida saludable y condiciones no transmisibles implementadas</t>
  </si>
  <si>
    <t>Salud Pública Integral, Una Realidad en los Entornos de Vida Cotidianos</t>
  </si>
  <si>
    <t>Personas en sufrimiento psíquico y social incluidas en el modelo comunitario en Salud Mental</t>
  </si>
  <si>
    <t>Fortalecimiento de la salud mental en el marco del modelo comunitario en santiago de cali</t>
  </si>
  <si>
    <t>BP26003087</t>
  </si>
  <si>
    <t>BP2600308710101</t>
  </si>
  <si>
    <t>Capacitar 300 personas temas de salud mental y convivencia</t>
  </si>
  <si>
    <t>BP2600308710201</t>
  </si>
  <si>
    <t>BP2600308710301</t>
  </si>
  <si>
    <t>Personas incluidas en el modelo comunitario de salud mental</t>
  </si>
  <si>
    <t>Brindar a 1000 personas servicio de promoción de la participación social en materia de salud y de seguridad social en salud</t>
  </si>
  <si>
    <t>Empresas y grupos de trabajo informal de los sectores económicos en Santiago de Cali,  monitoreados y vigilados frente al cumplimiento de condiciones de seguridad y salud en el trabajo.</t>
  </si>
  <si>
    <t>Fortalecimiento   de las condiciones de seguridad y salud en el trabajo en empresas, grupos organizados de trabajo informal y poblacion trabajadora en santiago de cali.</t>
  </si>
  <si>
    <t>BP26002791</t>
  </si>
  <si>
    <t>BP2600279110101</t>
  </si>
  <si>
    <t>Promoción de la salud y la prevención del riesgo ocupacional en el trabajo fortalecida</t>
  </si>
  <si>
    <t xml:space="preserve">Implementar en 6.500 ambientes laborales capañas de promoción en temas seguridad y salud en el trabajo </t>
  </si>
  <si>
    <t>Campañas de promoción en temas seguridad y salud en el trabajo implementadas</t>
  </si>
  <si>
    <t>BP2600279110102</t>
  </si>
  <si>
    <t>Elaborar 1 documentos de lineamientos
técnicos</t>
  </si>
  <si>
    <t>BP2600279110201</t>
  </si>
  <si>
    <t>Capacitar a 7.000 personas en temas de salud pública y prestación de servicios</t>
  </si>
  <si>
    <t>BP2600279110301</t>
  </si>
  <si>
    <t>Elaborar 2 documentos de documentos legales  y normativos</t>
  </si>
  <si>
    <t>Documentos legales y actos administrativos</t>
  </si>
  <si>
    <t>Programa de Promoción y Atención Integral a la Malnutrición implementado en las instituciones</t>
  </si>
  <si>
    <t>Fortalecimiento de la seguridad alimentaria y nutricional en Cali</t>
  </si>
  <si>
    <t>BP26003055</t>
  </si>
  <si>
    <t>BP2600305510101</t>
  </si>
  <si>
    <t>Implementar 220 campañas de gestión del riesgo para temas de consumo y aprovechamiento biológico de los alimentos, calidad e inocuidad de los alimentos</t>
  </si>
  <si>
    <t>Campañas de gestión del riesgo para temas de consumo y aprovechamiento biológico de los alimentos, calidad e inocuidad de los alimentos implementadas</t>
  </si>
  <si>
    <t>BP2600305510201</t>
  </si>
  <si>
    <t xml:space="preserve">Implementar 31 campañas de promoción en temas de disponibilidad y acceso a los alimentos, consumo y aprovechamiento biológico de los alimentos  </t>
  </si>
  <si>
    <t>Campañas de promoción en temas de disponibilidad y acceso a los alimentos, consumo y aprovechamiento biológico de los alimentos implementadas</t>
  </si>
  <si>
    <t>Modelo Integral de Salud Sexual y Reproductiva, implementado</t>
  </si>
  <si>
    <t>Fortalecimiento del ejercicio de los derechos sexuales y reproductivos de la población adulta de Santiago de Cali</t>
  </si>
  <si>
    <t>BP26003171</t>
  </si>
  <si>
    <t>BP2600317110101</t>
  </si>
  <si>
    <t>Implementar 2 campañas de promoción de los derechos sexuales y reproductivos y la equidad de género</t>
  </si>
  <si>
    <t>Campañas de promoción de los derechos sexuales y reproductivos y la equidad de género implementadas</t>
  </si>
  <si>
    <t>BP2600317110201</t>
  </si>
  <si>
    <t xml:space="preserve">Capacitar 100 actores sociales en temas de salud sexual y reproductiva y prestación de servicios </t>
  </si>
  <si>
    <t>BP2600317110301</t>
  </si>
  <si>
    <t xml:space="preserve">Instituciones Prestadoras de Salud de la Jurisdicción con asistencia técnica recibida y  modelo implementado </t>
  </si>
  <si>
    <t xml:space="preserve">Implementar el modelo brindando asistencia técnica a 12 instituciones prestadoras de Servicio de salud </t>
  </si>
  <si>
    <t>Entidades de los entornos de vida cotidiana con prácticas de vida saludable que prevengan la mortalidad temprana por hipertensión, diabetes y cáncer, implementados</t>
  </si>
  <si>
    <t>Mejoramiento de prácticas de vida saludable en entornos cotidianos de santiago de cali</t>
  </si>
  <si>
    <t>BP26003409</t>
  </si>
  <si>
    <t>BP2600340910101</t>
  </si>
  <si>
    <t>Entidades de los Entornos de vida cotidiana con prácticas de vida saludable que prevengan la mortalidad temprana por hipertensión, diabetes y cáncer, implementados.</t>
  </si>
  <si>
    <t>Realizar a 129 actores sectoriales asistencia técnica en el fortalecimiento de capacidades básicas y técnicas en salud</t>
  </si>
  <si>
    <t>BP2600340910201</t>
  </si>
  <si>
    <t>Brindar a 40 organizaciones de base servicio de asistencia técnica comunitaria</t>
  </si>
  <si>
    <t>BP2600340910301</t>
  </si>
  <si>
    <t>Implementar  campañas de servicio de promoción de modos, condiciones y estilos de vida saludables en 902 entidades de los entornos</t>
  </si>
  <si>
    <t>Campañas de promoción de modos, condiciones y estilos de vida saludables implementadas</t>
  </si>
  <si>
    <t>Personas con Tuberculosis diagnosticadas antes de 30 días a partir de la consulta</t>
  </si>
  <si>
    <t>Fortalecimiento en la detección de tuberculosis y Hansen en Santiago de Cali</t>
  </si>
  <si>
    <t>BP26003300</t>
  </si>
  <si>
    <t>BP2600330010101</t>
  </si>
  <si>
    <t>Personas con Tuberculosis diagnosticadas antes de 30 días a partir de la consulta.</t>
  </si>
  <si>
    <t xml:space="preserve">Brindar a 1000 peronas el servicio de atención en salud a la población  </t>
  </si>
  <si>
    <t>Personas atendidas con servicio de salud</t>
  </si>
  <si>
    <t>BP2600330010201</t>
  </si>
  <si>
    <t xml:space="preserve">Elaborar 1 documento de lineamientos técnicos </t>
  </si>
  <si>
    <t>Unidades biológicas (Neumococo 23, Meningococo, DPT acelular, Hepatitis A y B) no incluidas en el esquema nacional gratuito de vacunación a población priorizada por factores de riesgo aplicadas</t>
  </si>
  <si>
    <t>Fortalecimiento de esquemas de vacunación en la población priorizada por factores de riesgo en Santiago de Cali</t>
  </si>
  <si>
    <t>BP26003386</t>
  </si>
  <si>
    <t xml:space="preserve">  </t>
  </si>
  <si>
    <t>BP2600338610101</t>
  </si>
  <si>
    <t>Suministrar 114421 unidades de biológicos, biosimilares y medicamentos de síntesis de interés en salud pública</t>
  </si>
  <si>
    <t>BP2600338610201</t>
  </si>
  <si>
    <t>Implementar 8 campañas  de servicio de gestión del riesgo  de enfermedades inmunoprevenibles</t>
  </si>
  <si>
    <t>BP2600338610301</t>
  </si>
  <si>
    <t>Elaborar 1 documento de divulgación de los hallazgos, conclusiones y análisis de los resultados de monitoreo y evaluación anual</t>
  </si>
  <si>
    <t>Publicaciones efectivamente presentadas anualmente en el distrito con los hallazgos, conclusiones  y análisis de los resultados de monitoreo y evaluación</t>
  </si>
  <si>
    <t>Unidades Primarias Generadoras de Datos -UPGD- funcionando en el Sistema de Vigilancia Epidemiológica</t>
  </si>
  <si>
    <t>Fortalecimiento del proceso de vigilancia en salud publica en el Distrito de Santiago de Cali</t>
  </si>
  <si>
    <t>BP26004151</t>
  </si>
  <si>
    <t>BP2600415110101</t>
  </si>
  <si>
    <t>Unidades Primarias Generadoras de Datos -UPGD- funcionando en el Sistema de Vigilancia Epidemiológica.</t>
  </si>
  <si>
    <t>Generar 175 informes de eventos de servicio de información de vigilancia epidemiológica</t>
  </si>
  <si>
    <t>Informes de eventos generados en la vigencia</t>
  </si>
  <si>
    <t>BP2600415110201</t>
  </si>
  <si>
    <t>Publicar y/o socializar 192 documentos de lineamientos técnicos de los eventos de interes en Salud Pública y analisis de la situación de salud  de la poblacion</t>
  </si>
  <si>
    <t>Documentos técnicos publicados y/o socializados</t>
  </si>
  <si>
    <t>BP2600415110301</t>
  </si>
  <si>
    <t>Realizar 185 asistencias técnicas frente a los lineamientos del sistema de vigilancia en Salud Pública</t>
  </si>
  <si>
    <t>Asistencias tecnicas realizadas</t>
  </si>
  <si>
    <t>Rutas Integrales de Atención para poblaciones en riesgo en el marco del MAITE implementadas</t>
  </si>
  <si>
    <t>Implementación de Rutas integrales de atención en salud en el marco del Modelo de Acción Integral Territorial -MAITE- en Santiago de Cali</t>
  </si>
  <si>
    <t>BP26002794</t>
  </si>
  <si>
    <t>BP2600279410101</t>
  </si>
  <si>
    <t>Elaborar 1 documento de lineamientos técnicos</t>
  </si>
  <si>
    <t>BP2600279410201</t>
  </si>
  <si>
    <t>Brindar Servicio de asistencia técnica a 17 instituciones prestadoras de Servicio de salud</t>
  </si>
  <si>
    <t>BP2600279410301</t>
  </si>
  <si>
    <t>Brindar 1 Servicio de información actualizado</t>
  </si>
  <si>
    <t xml:space="preserve">Líderes comunitarios con capacidades para la exigibilidad del derecho a la salud certificados </t>
  </si>
  <si>
    <t>Fortalecimiento de capacidades en participación social en salud en Santigo de Cali.</t>
  </si>
  <si>
    <t>BP26002761</t>
  </si>
  <si>
    <t>Secretaría de Salud Pública/Subsecretaria de Protección de la Salud y Prestación de Servicios</t>
  </si>
  <si>
    <t>BP2600276110101</t>
  </si>
  <si>
    <t>Brindar a 5 entidades servicio de asistencia técnica institucional</t>
  </si>
  <si>
    <t>Entidades territoriales Empresas Prestadoras de Salud, Instituciones Prestadores de Servicio de Salud y Empresas Sociales del Estado apoyadas técnicamente</t>
  </si>
  <si>
    <t>BP2600276110201</t>
  </si>
  <si>
    <t>Líderes comunitarios con
capacidades para la exigibilidad del derecho a la salud certificados</t>
  </si>
  <si>
    <t>Capacitar 700 personas en temas de salud pública y prestación de servicios</t>
  </si>
  <si>
    <t>BP2600276110202</t>
  </si>
  <si>
    <t>Brindar a 5 actores comunitarios servicio de promoción de la participación social en materia de salud y de seguridad social en salud</t>
  </si>
  <si>
    <t>Laboratorio de Vigilancia Epidemiologica, Investigación y Autoridad Sanitaria implementado</t>
  </si>
  <si>
    <t>Implementación de un Laboratorio de Investigación en Salud Pública en Cali</t>
  </si>
  <si>
    <t>BP26003517</t>
  </si>
  <si>
    <t>Secretaría de Salud Pública/Unidad de Apoyo a la Gestión</t>
  </si>
  <si>
    <t>BP2600351710101</t>
  </si>
  <si>
    <t xml:space="preserve">Acciones de investigación en salud pública fortalecidas. </t>
  </si>
  <si>
    <t xml:space="preserve">Elaborar un documento de diseño técnico de operación del laboratorio de investigación en salud pública </t>
  </si>
  <si>
    <t>Documentos de planeación de Ciencia y Tecnología elaborados</t>
  </si>
  <si>
    <t>BP2600351710201</t>
  </si>
  <si>
    <t>Entregar 1 documento de investigación de consolidación de los procesos de integración de los resultados de investigación</t>
  </si>
  <si>
    <t>Libros y/o capítulos de libros resultados de investigación</t>
  </si>
  <si>
    <t>BP2600351710301</t>
  </si>
  <si>
    <t>Publicar 1 artículo en metodología de investigación en Salud Pública</t>
  </si>
  <si>
    <t>Artículos publicados en revistas indexadas nacionales e internacionales</t>
  </si>
  <si>
    <t>Personas en situación y en riesgo de consumo de sustancias psicoactivas, intervenidas</t>
  </si>
  <si>
    <t>Fortalecimiento de la capacidad de respuesta en el abordaje y el riesgo del consumo de sustancias psicoactivas en cali</t>
  </si>
  <si>
    <t>BP26002866</t>
  </si>
  <si>
    <t>BP2600286610101</t>
  </si>
  <si>
    <t>Personas intervenidas en situación y en
riesgo de consumo de sustancias
psicoactivas</t>
  </si>
  <si>
    <t xml:space="preserve">Brindar a 1200 personas el  Servicio de promoción de la participación social en materia de salud y de seguridad social en salud </t>
  </si>
  <si>
    <t>BP2600286610201</t>
  </si>
  <si>
    <t>Brindar atenciòn a 500 personas en temas relacionados con atención a la población</t>
  </si>
  <si>
    <t>Entidades de salud con atención integral de VIH/SIDA/Hepatitis B y C, y el enfoque diferencial y de género en la prestación de servicios de salud implementada.</t>
  </si>
  <si>
    <t>Implementación de la atención integral del VIH/SIDA Y Hepatitis B y C con enfoque diferencial y de genero en entidades de salud en Santiago de Cali</t>
  </si>
  <si>
    <t>BP26003408</t>
  </si>
  <si>
    <t>BP2600340810101</t>
  </si>
  <si>
    <t>Elaborar 1 documento de lineamientos técnicos con la caracterización de la población relacionada con VIH/SIDA/Hepatitis B y C</t>
  </si>
  <si>
    <t>BP2600340810201</t>
  </si>
  <si>
    <t>Brindar servicio de asistencia técnica a 5 instituciones prestadoras de Servicio de salud en la identificación sistemática de casos, contactos y convivientes en riesgo de VIH/SIDA/Hepatitis B y C</t>
  </si>
  <si>
    <t>BP2600340810301</t>
  </si>
  <si>
    <t>Brindar asistencia técnica institucional  a 5 actores del Servicio de salud en  el proceso de atención integral del VIH/SIDA centrado en el paciente con enfoque diferencial</t>
  </si>
  <si>
    <t>BP2600340810401</t>
  </si>
  <si>
    <t xml:space="preserve">Entidades con atencion integral en VIH/SIDA/ Hepatitis B y C </t>
  </si>
  <si>
    <t xml:space="preserve">Brindar  servicio de asistencia técnica en el desarrollo de capacidades en 5 actores del Sistema General de Seguridad Social en Salud, en atención a la Población LGBTIQ+ con Enfoque Diferencial </t>
  </si>
  <si>
    <t xml:space="preserve">Distritos con procesos de Asistencia técnica gestionados para desarrollo de capacidades en los actores del Sistema General de Seguridad Social en Salud </t>
  </si>
  <si>
    <t xml:space="preserve">Ruta de promoción y mantenimiento de la salud en el entorno educativo, implementado </t>
  </si>
  <si>
    <t>Fortalecimiento  de la promoción y mantenimiento de la salud en los cursos de vida de infancia, adolescencia y juventud en Santiago de Cali</t>
  </si>
  <si>
    <t>BP26003714</t>
  </si>
  <si>
    <t>BP2600371410101</t>
  </si>
  <si>
    <t>Número de instituciones con intervenciones en el Fortalecimiento en la promoción y mantenimiento de la salud en los cursos de vida de infancia, adolescencia y juventud a través de la Ruta de promoción y mantenimiento de la salud.</t>
  </si>
  <si>
    <t>Implementar la ruta mediante 6387 campañas de gestión del riesgo para abordar condiciones crónicas y prevalentes en infancia, adolescencia y juventud de 493 instituciones educativas</t>
  </si>
  <si>
    <t>Campañas de gestión del riesgo para abordar condiciones crónicas prevalentes implementadas</t>
  </si>
  <si>
    <t>BP2600371410201</t>
  </si>
  <si>
    <t>Realizar 493 campañas de promoción de la salud y prevención de riesgos asociados a condiciones no transmisibles en los cursos de vida infancia, adolescencia y juventud en los entornos de vida cotidiana.</t>
  </si>
  <si>
    <t>Campañas de promoción de la salud y prevención de riesgos asociados a condiciones no transmisibles implementadas</t>
  </si>
  <si>
    <t>BP2600371410301</t>
  </si>
  <si>
    <t>Capacitar a 1300 personas en temas de salud publica de los cursos de vida  de infancia, adolescencia y juventud de 493 instituciones educativas.</t>
  </si>
  <si>
    <t>Servicios de Salud de Calidad en Redes Integrales, Un Desafío para Todos</t>
  </si>
  <si>
    <t xml:space="preserve">Personas identificadas sin seguridad social, afiliadas en salud </t>
  </si>
  <si>
    <t>Fortalecimiento de la gestión del aseguramiento en salud en santiago de cali</t>
  </si>
  <si>
    <t>BP26002938</t>
  </si>
  <si>
    <t>BP2600293810101</t>
  </si>
  <si>
    <t>Personas identificadas sin
seguridad social, afiliadas en salud</t>
  </si>
  <si>
    <t>Realizar a 7027 personas el proceso de afiliación a través del Servicio de identificación y selección de beneficiarios del régimen subsidiado paara una cobertura del 80%</t>
  </si>
  <si>
    <t>Personas pobres y vulnerables en la jurisdicción identificada con selección de beneficiarios del Régimen Subsidiado</t>
  </si>
  <si>
    <t>BP2600293810201</t>
  </si>
  <si>
    <t>Brindar en 2 jurisdicciones el Servicio de promoción de afiliaciones al régimen contributivo del Sistema General de Seguridad Social de las personas con capacidad de pago</t>
  </si>
  <si>
    <t>Jurisdicciones con promoción de afiliaciones al régimen Contributivo del Sistema general de Seguridad Social de las personas con capacidad de pago.</t>
  </si>
  <si>
    <t>BP2600293810301</t>
  </si>
  <si>
    <t>Realizar 12 procesos de liquidación mensual de afiliados al Régimen Subsidiado.</t>
  </si>
  <si>
    <t xml:space="preserve">procesos de Liquidación Mensual de Afiliados ejecutados </t>
  </si>
  <si>
    <t>BP2600293810302</t>
  </si>
  <si>
    <t>Realizar en 1 Distrito el Servicio de supervisión y control del recaudo de los recursos en la afiliación y continuidad al régimen subsidiado</t>
  </si>
  <si>
    <t>Distritos con supervisión y control del recaudo real y efectivo de los recursos propios</t>
  </si>
  <si>
    <t>Población migrante atendida</t>
  </si>
  <si>
    <t>Fortalecimiento de la prestación de los servicios de salud de la población migrante irregular en Santiago de Cali</t>
  </si>
  <si>
    <t>BP26005071</t>
  </si>
  <si>
    <t>BP2600507110101</t>
  </si>
  <si>
    <t>Asistir técnicamente a 10 instituciones prestadoras de servicios de salud</t>
  </si>
  <si>
    <t>Instituciones Prestadoras de Servicios de Salud asistidas técnicamente</t>
  </si>
  <si>
    <t>Se dio inicio a la asistencia técnica en facturación de atención en salud de la población migrante irregular a 9 Instituciones Prestadoras de Servicios de Salud</t>
  </si>
  <si>
    <t>BP2600507110201</t>
  </si>
  <si>
    <t xml:space="preserve">Realizar 124,600 atenciones a población migrante </t>
  </si>
  <si>
    <t>Sistema de Garantia de la Calidad en Salud en las IPS con cumplimiento</t>
  </si>
  <si>
    <t>Mejoramiento de la calidad en la prestación de los servicios de salud en la red de prestadores de Santiago de Cali</t>
  </si>
  <si>
    <t>BP26002937</t>
  </si>
  <si>
    <t>BP2600293710101</t>
  </si>
  <si>
    <t>Sistema de Garantía de la
Calidad en Salud en las IPS con cumplimiento</t>
  </si>
  <si>
    <t>Realizar auditorias y visitas inspectivas  a 150  actores (IPS-EPS) del sector</t>
  </si>
  <si>
    <t>Auditorías y visitas inspectivas realizadas</t>
  </si>
  <si>
    <t>BP2600293710201</t>
  </si>
  <si>
    <t>Realizar 2 planes de asistencia técnica en inspección, vigilancia y control a los actores del SGSSS</t>
  </si>
  <si>
    <t xml:space="preserve"> Asistencias técnica en Inspección, Vigilancia y Control realizadas</t>
  </si>
  <si>
    <t>BP2600293710301</t>
  </si>
  <si>
    <t xml:space="preserve">Entregar 1 producto de comunicación y divulgación en inspección, vigilancia y control </t>
  </si>
  <si>
    <t>Productos de comunicación difundidos</t>
  </si>
  <si>
    <t>Usuarios con restitución de derechos en salud por la Autoridad Sanitaria</t>
  </si>
  <si>
    <t>Mejoramiento de la capacidad de gestión de la autoridad sanitaria en la restitución de derechos en Salud a los usuarios en Santiago de Cali</t>
  </si>
  <si>
    <t>BP26003041</t>
  </si>
  <si>
    <t>BP2600304110101</t>
  </si>
  <si>
    <t>Usuarios con restitución de derechos en salud por la Autoridad Sanitaria aumentada</t>
  </si>
  <si>
    <t xml:space="preserve">Atender 26325 personas que  presenten solicitudes relacionadas con el servicio de atencion en salud a la población </t>
  </si>
  <si>
    <t>Personas atendidas con servicio de salud </t>
  </si>
  <si>
    <t>BP2600304110201</t>
  </si>
  <si>
    <t xml:space="preserve">Brindar a 13954 personas la participación social en el ejercicio pleno de sus deberes y derechos en materia de salud y seguridad social en salud. </t>
  </si>
  <si>
    <t>Personas que participan en el ejercicio pleno de sus deberes y derechos en materia de salud y seguridad social en salud.</t>
  </si>
  <si>
    <t>Fortalecimiento de la capacidad de gestión de la autoridad sanitaria de Santiago de Cali</t>
  </si>
  <si>
    <t>BP26003389</t>
  </si>
  <si>
    <t>BP2600338910101</t>
  </si>
  <si>
    <t xml:space="preserve">Realizar 8 Documentos de planeación social  y economica    de la  autoridad   sanitaria </t>
  </si>
  <si>
    <t>BP2600338910102</t>
  </si>
  <si>
    <t xml:space="preserve">Realizar 18 Documentos metodológicos de los   sistemas   de  gestion de la  autoridad  sanitaria </t>
  </si>
  <si>
    <t>Documentos metodologicos  realizados</t>
  </si>
  <si>
    <t>BP2600338910201</t>
  </si>
  <si>
    <t>Tramitar 2.000 tutelas en donde se restituya los derechos en salud al menos al 60% con el sistema de gestión documental.</t>
  </si>
  <si>
    <t>Documentos tramitados</t>
  </si>
  <si>
    <t>BP2600338910301</t>
  </si>
  <si>
    <t>Aportar un 20% en el índice de capacidad de los servicios tecnológicos</t>
  </si>
  <si>
    <t>Índice de capacidad en la prestación de servicios de tecnología</t>
  </si>
  <si>
    <t>BP2600338910303</t>
  </si>
  <si>
    <t>Realizar matenimiento de la infraestructura física de 2 sedes de la autoridad sanitaria.</t>
  </si>
  <si>
    <t>Sedes mantenidas</t>
  </si>
  <si>
    <t>Riesgos en salud intervenidos</t>
  </si>
  <si>
    <t>Mejoramiento de la gestión del riesgo por parte de los actores del SGSSS en Santiago de Cali</t>
  </si>
  <si>
    <t>BP26003078</t>
  </si>
  <si>
    <t>BP2600307810101</t>
  </si>
  <si>
    <t>Se interviene el 80% de riesgos en salud identificados en los territorios priorizados a través de la implementación de las campañas de Atención Primaria en Salud -APS-)</t>
  </si>
  <si>
    <t>Salud Ambiental Territorial</t>
  </si>
  <si>
    <t>Territorios que concentran el mayor riesgo epidemiológico, sanitario, social y ambiental intervenidos integralmente</t>
  </si>
  <si>
    <t>Fortalecimiento de la Gestión en la Promoción de Entornos para la vida en Santiago de Cali</t>
  </si>
  <si>
    <t>BP26002941</t>
  </si>
  <si>
    <t>BP2600294110101</t>
  </si>
  <si>
    <t>Territorios que concentran mayor riesgo
epidemiológico, sanitario, social y ambiental intervenidos integralmente</t>
  </si>
  <si>
    <t>Implementar 7 campañas de  articulación intersectorial y comunitaria en la promoción en temas de hábitat saludable en  7 territorios a intervenir integralmente en los entornos  de vida cotidiana</t>
  </si>
  <si>
    <t>Campañas de promoción en temas de hábitat saludable implementadas</t>
  </si>
  <si>
    <t>BP2600294110201</t>
  </si>
  <si>
    <t>Implementar en 3500 campañas de gestión del riesgo para abordar situaciones de salud relacionadas con condiciones ambientales</t>
  </si>
  <si>
    <t>Campañas de gestión del riesgo para abordar situaciones de salud relacionadas con condiciones ambientales implementadas</t>
  </si>
  <si>
    <t>BP2600294110202</t>
  </si>
  <si>
    <t>Capacitar 5950 personas en en temas de salud pública y prestación de servicios</t>
  </si>
  <si>
    <t>BP2600294110203</t>
  </si>
  <si>
    <t>Implementar 35 campañas de promoción de modos, condiciones en entornos para  la  vida y estilos de vida saludables en el  entorno comunitario</t>
  </si>
  <si>
    <t>BP2600294110301</t>
  </si>
  <si>
    <t xml:space="preserve">Brindar a 6 organizaciones de base asistencia técnica comunitaria con enfoque   de entornos para la vida </t>
  </si>
  <si>
    <t>BP2600294110401</t>
  </si>
  <si>
    <t xml:space="preserve">Actualizar 1 sistema de información en el ejercicio de toma de decisiones.en temas asociados a la promoción de entornos para la vida y de gestión en salud ambiental </t>
  </si>
  <si>
    <t>Implementacion de encuentros comunitarios en la promocion de entornos para la vida y estilos de vida saludables en la comuna 21 de santiago de cali</t>
  </si>
  <si>
    <t>BP26003326</t>
  </si>
  <si>
    <t>BP2600332610101</t>
  </si>
  <si>
    <t>Territorio intervenido integralmente  en temas de habitat saludable, entornos para la vida y estilos  de vida saludable.</t>
  </si>
  <si>
    <t>Implementar 3 campañas de promoción en temas de hábitat saludable, entornos para la vida y estilos de vida saludables en 1 territorio intervenido (comuna 21)</t>
  </si>
  <si>
    <t>Estrategia de Gestión Integral - EGI de ETV, implementada</t>
  </si>
  <si>
    <t>Mejoramiento de la gestión en la prevención y vigilancia de insectos vectores de enfermedades en Santiago de Cali</t>
  </si>
  <si>
    <t>BP26003060</t>
  </si>
  <si>
    <t>BP2600306010101</t>
  </si>
  <si>
    <t xml:space="preserve">Implementar 14 campañas de prevención y control del vector transmisor de las ETV en 14 sectores priorizados </t>
  </si>
  <si>
    <t>BP2600306010201</t>
  </si>
  <si>
    <t>Implementar 12 campañas de gestión del riesgo en abordar situaciones de salud relacionadas con condiciones ambientales, vigilancia y control de vectores</t>
  </si>
  <si>
    <t>BP2600306010301</t>
  </si>
  <si>
    <t xml:space="preserve">Actualizar 1 sistema de información en temas asociados a la vigilancia de vectores  y la atención a usuarios internos y externos </t>
  </si>
  <si>
    <t>Se avanza en la actualizacion del sistema de información y alistamiento de reportes de vigilancia de vectores y atención para el sistema de información.</t>
  </si>
  <si>
    <t>Estrategia de Gestión Integrada - EGI de Zoonosis implementada</t>
  </si>
  <si>
    <t>Fortalecimiento de la Estrategia de Gestión Integral de Zoonosis en Santiago de Cali</t>
  </si>
  <si>
    <t>BP26003077</t>
  </si>
  <si>
    <t>BP2600307710101</t>
  </si>
  <si>
    <t>Realizar  en 1 distrito inspección, vigilancia y control de los factores del riesgo del ambiente que afectan la salud humana</t>
  </si>
  <si>
    <t xml:space="preserve">Distritos con acciones de Inspección Vigilancia y Control  reales y efectivas  de los factores del riesgo del ambiente que afectan la salud humana  realizados </t>
  </si>
  <si>
    <t>BP2600307710201</t>
  </si>
  <si>
    <t xml:space="preserve">Generar 12 informes de vigilancia epidemiológica </t>
  </si>
  <si>
    <t xml:space="preserve">Informes de evento generados en la vigencia  </t>
  </si>
  <si>
    <t>BP2600307710301</t>
  </si>
  <si>
    <t>Realizar 1 intervención de promoción, prevención, vigilancia y control de vectores y zoonosis</t>
  </si>
  <si>
    <t xml:space="preserve">Municipios categorías 1,2 y 3 que formulen y ejecuten real y efectivamente acciones de promoción, prevención, vigilancia  y control de vectores y zoonosis realizados
</t>
  </si>
  <si>
    <t>Se realizaron acciones de promoción, prevención, vigilancia y control de  zoonosis  plasmadas en el plan de trabajo, priorizacion de territorios  y cronograma anual de vacunacion antirrabica.</t>
  </si>
  <si>
    <t>BP2600307710401</t>
  </si>
  <si>
    <t xml:space="preserve">Realizar dotación del 100% de bienes y Servicio de interés en  salud pública en acciones de control de la transmisión de la zoonosis de forma preventiva y correctiva </t>
  </si>
  <si>
    <t xml:space="preserve">Cumplimiento de indicador ponderado de suministro de bienes y Servicio de interés para la salud pública en una vigencia determinada   </t>
  </si>
  <si>
    <t>Edificaciones e instalaciones con condiciones seguras para la salud humana aumentadas</t>
  </si>
  <si>
    <t>Mejoramiento de las acciones de inspección, vigilancia y control en Santiago de Cali</t>
  </si>
  <si>
    <t>BP26002955</t>
  </si>
  <si>
    <t>BP2600295510101</t>
  </si>
  <si>
    <t>Generar 4 informes  de eventos y  componentes temáticos de la salud ambiental identificados en zonas de interés</t>
  </si>
  <si>
    <t>Informes de evento generados en la vigencia</t>
  </si>
  <si>
    <t>BP2600295510102</t>
  </si>
  <si>
    <t>Elaborar 4 documentos metodológicos de plan de trabajo del procedimiento de IVC</t>
  </si>
  <si>
    <t>BP2600295510201</t>
  </si>
  <si>
    <t xml:space="preserve">Realizar 1200 análisis de laboratorio de componentes agua y saneamiento básico </t>
  </si>
  <si>
    <t xml:space="preserve">Análisis realizados
</t>
  </si>
  <si>
    <t>BP2600295510401</t>
  </si>
  <si>
    <t>Atender el 100% de solicitudes de evaluación del riesgo en inocuidad de alimentos</t>
  </si>
  <si>
    <t>Evaluaciones de riesgo realizadas en la vigencia/evaluaciones de riesgo solicitadas en la vigencia</t>
  </si>
  <si>
    <t>BP2600295510402</t>
  </si>
  <si>
    <t>Realizar 9000 visitas de inspección sanitaria, vigilancia y control</t>
  </si>
  <si>
    <t>visitas realizadas</t>
  </si>
  <si>
    <t>Índice de capacidad de operación de las Empresas Sociales del Estado aumentado</t>
  </si>
  <si>
    <t>Fortalecimiento de la capacidad de operación de las empresas sociales del estado en Santiago de Cali</t>
  </si>
  <si>
    <t>BP26004358</t>
  </si>
  <si>
    <t>BP2600435810101</t>
  </si>
  <si>
    <t>Índice de capacidad de
operación de las Empresas Sociales del Estado aumentado</t>
  </si>
  <si>
    <t>Apoyar la adquisición de 665 elementos entre mobiliario clínico y equipos biomédicos en  la dotación hospitalaria de las ESE, para alcanzar el 74% en el índice</t>
  </si>
  <si>
    <t>Elementos de dotación hospitalaria adquiridos</t>
  </si>
  <si>
    <t>Cali, Nuestra Casa Común</t>
  </si>
  <si>
    <t>Reducción del Riesgo</t>
  </si>
  <si>
    <t>Servicios de urgencias y ambulancias seguros en la respuesta a urgencias, emergencias y desastres</t>
  </si>
  <si>
    <t xml:space="preserve"> Fortalecimiento de la respuesta en salud en la atención de pacientes ante situaciones de urgencias, emergencias y desastres en santiago de cali.</t>
  </si>
  <si>
    <t>BP26003064</t>
  </si>
  <si>
    <t>BP2600306410101</t>
  </si>
  <si>
    <t>Capacitar 1000 personas en Primer Respondiente Comunitario con énfasis en manejo de Equipos de desfibrilación Externa Automática-DEA</t>
  </si>
  <si>
    <t>BP2600306410201</t>
  </si>
  <si>
    <t>Brindar asistencia técnica a 36 instituciones prestadoras de Servicio de salud en la implementación de planes hospitalarios de emergencias, que cuenten con Servicios de urgencias habilitados.</t>
  </si>
  <si>
    <t xml:space="preserve">Instituciones Prestadoras de Salud con asistencia técnica recibida en la Jurisdicción. </t>
  </si>
  <si>
    <t>BP2600306410301</t>
  </si>
  <si>
    <t>Elaborar 7 documentos de planeación ante eventos de interes de salud pública</t>
  </si>
  <si>
    <t>Documentos de planeación para el mejoramiento de la calidad en salud elaborados.</t>
  </si>
  <si>
    <t>Se elaboró 4 documentos de planeación ante eventos masivos de interés en salud.</t>
  </si>
  <si>
    <t>BP2600306410401</t>
  </si>
  <si>
    <t>Coordinar la operación de 1  Centro Regulador de Urgencias, Emergencias y Desastres.</t>
  </si>
  <si>
    <t>Direcciones departamentales de salud con Centros Reguladores de Urgencias, Emergencias y Desastres efectivamente organizados.</t>
  </si>
  <si>
    <t>BP2600306410501</t>
  </si>
  <si>
    <t>Realizar inspección de registro y control a 351 prestadores de Servicio de transporte asistencial de salud públicos y privado (390 ambulancias habilitadas) y en donde al menos el 90% cumple requisitos</t>
  </si>
  <si>
    <t>Registro y control de los Prestadores de Servicio de Salud públicos y privado</t>
  </si>
  <si>
    <t>BP2600306410601</t>
  </si>
  <si>
    <t xml:space="preserve">Participar en actividades de vigilancia de 100 eventos de interés en salud publica </t>
  </si>
  <si>
    <t>Eventos de interés en salud publica vigilados por laboratorio o por las redes especiales desde la Dirección de Redes en Salud Publica</t>
  </si>
  <si>
    <t>BP2600306410701</t>
  </si>
  <si>
    <t>implementar 1 proceso de gestión del riesgo y el manejo de desastres en los instrumentos de gestión pública.</t>
  </si>
  <si>
    <t>Municipios con implementación efectiva de los procesos de gestión del riesgo y el manejo de desastres en los instrumentos de gestión pública.</t>
  </si>
  <si>
    <t>Licitación</t>
  </si>
  <si>
    <t>Empleabilidad y Emprendimiento</t>
  </si>
  <si>
    <t>Empleabilidad con Enfoque Diferencial y de Género</t>
  </si>
  <si>
    <t>Entidades públicas y/o privadas sensibilizadas en enfoque diferencial y de género que promuevan buenas prácticas de inclusión desarrollo humano y autonomía económica</t>
  </si>
  <si>
    <t>Desarrollo de prácticas equitativas y de género que contribuyan al empoderamiento de las mujeres y su autonomía económica en el distrito de Santiago de Cali</t>
  </si>
  <si>
    <t>BP26003141</t>
  </si>
  <si>
    <t>Subsecretaría de Equidad de Género</t>
  </si>
  <si>
    <t>BP2600314110101</t>
  </si>
  <si>
    <t>Sensibilizar a 16 Entidades Públicas y/o Privadas con enfoque diferencial y de género.</t>
  </si>
  <si>
    <t>Instancias territoriales de coordinación institucional asistidas y apoyadas</t>
  </si>
  <si>
    <t>En el periodo correspondiente de enero a marzo se desarrollaron 8 sensibilizaciones a entidades, organismos y dependencias en el marco del enfoque de género para la autonomía económica de las mujeres en el Distrito de Cali.</t>
  </si>
  <si>
    <t>BP2600314110201</t>
  </si>
  <si>
    <t>Centros de orientación familiar funcionando como estrategia para la prevención de las violencias y para el fortalecimiento de habilidades para la vida, el trabajo y la convivencia de las Familias, con el enfoque interespecie incorporado para la atención diferencial</t>
  </si>
  <si>
    <t>Fortalecimiento  a Centros de Orientación Familiar para la prevención de las violencias,el afianzamiento de habilidades para a vida y el tejido social en Santiago de Cali</t>
  </si>
  <si>
    <t>BP26003466</t>
  </si>
  <si>
    <t xml:space="preserve">Subsecretaría de Poblaciones y Etnias </t>
  </si>
  <si>
    <t>BP2600346610201</t>
  </si>
  <si>
    <t>Familias atendidas</t>
  </si>
  <si>
    <t>Personas en Procesos de Retorno y Reubicación, apoyadas</t>
  </si>
  <si>
    <t>Apoyo a las personas víctimas del conflicto armado en los procesos de retorno y reubicación desde o hacía el Municipio de Santiago de  Cali</t>
  </si>
  <si>
    <t>BP26003023</t>
  </si>
  <si>
    <t>Subsecretaría de Atención Integral a Víctimas</t>
  </si>
  <si>
    <t>BP2600302310101</t>
  </si>
  <si>
    <t>Comunidades con procesos de acompañamiento para retornos o reubicación</t>
  </si>
  <si>
    <t>BP2600302310201</t>
  </si>
  <si>
    <t>Hogares víctimas apoyados para el mejoramiento de condiciones de habitabilidad</t>
  </si>
  <si>
    <t>Familias víctimas restituidas, que reciben medidas de asistencia, atención y reparación en proceso de restitución de tierras</t>
  </si>
  <si>
    <t>Asistencia y atención para las familias víctimas  del conflicto armado restituidas de tierras en Santiago de  Cali</t>
  </si>
  <si>
    <t>BP26003020</t>
  </si>
  <si>
    <t>BP2600302010101</t>
  </si>
  <si>
    <t>Informar a 100 víctimas del conflicto armado sobre la oferta institucional.</t>
  </si>
  <si>
    <t>Victimas informadas sobre oferta institucional</t>
  </si>
  <si>
    <t>BP2600302010201</t>
  </si>
  <si>
    <t>Asisitir a 10 familias víctimas en el proceso de restitución de tierras y mejoramiento de condiciones de habitabilidad.</t>
  </si>
  <si>
    <t>Personas que reciben orientación y atención integral a través del Centro Regional de Atención a Víctimas</t>
  </si>
  <si>
    <t>Fortalecimiento de los servicios de orientación y atención del Centro Regional de Atención a Víctimas en Santiago de  Cali</t>
  </si>
  <si>
    <t>BP26003012</t>
  </si>
  <si>
    <t>BP2600301210101</t>
  </si>
  <si>
    <t xml:space="preserve">Atender 31.000 solicitudes de personas que buscan recibir orientación y atención integral. </t>
  </si>
  <si>
    <t>Solicitudes tramitadas</t>
  </si>
  <si>
    <t>BP2600301210201</t>
  </si>
  <si>
    <t>Elaborar un plan de acción articulado como mecanismo para fortalecer la capacidad institucional en el CRAV.</t>
  </si>
  <si>
    <t>Planes de acción articulados</t>
  </si>
  <si>
    <t>Puntos de Información Orientación (PIO) y Unidades Móviles adecuadas y funcionando</t>
  </si>
  <si>
    <t>Fortalecimiento de la oferta de servicios  brindados a las víctimas del conflicto armado en Santiago de  Cali</t>
  </si>
  <si>
    <t>BP26003018</t>
  </si>
  <si>
    <t>BP2600301810101</t>
  </si>
  <si>
    <t>Adecuar y garantizar el funcionamiento de 1 centro regional PIO.</t>
  </si>
  <si>
    <t>Centros regionales y puntos de atención a víctimas dotados</t>
  </si>
  <si>
    <t>BP2600301810201</t>
  </si>
  <si>
    <t>Informar a 7.659 víctimas del conflictor armado sobre la oferta institucional.</t>
  </si>
  <si>
    <t>Hogares víctimas del conflicto armado que solicitan y reciben ayuda humanitaria con enfoque étnico diferencial, en cumplimiento de los requisitos de ley</t>
  </si>
  <si>
    <t>Apoyo de ayudas humanitarias Inmediatas a los hogares víctimas del conflicto armado en  Cali</t>
  </si>
  <si>
    <t>BP26003008</t>
  </si>
  <si>
    <t>BP2600300810101</t>
  </si>
  <si>
    <t xml:space="preserve">Hogares víctimas del conflicto armado que solicitan y reciben ayuda humanitaria </t>
  </si>
  <si>
    <t>Personas con asistencia humanitaria</t>
  </si>
  <si>
    <t>Sistema de información de atención a víctimas del conflicto ampliado e integrado</t>
  </si>
  <si>
    <t>Ampliación e integración del Sistema de Información de Víctimas de  Cali</t>
  </si>
  <si>
    <t>BP26003009</t>
  </si>
  <si>
    <t>BP2600300910101</t>
  </si>
  <si>
    <t>Caracterizar a 30.000 víctimas del conflicto armado a través del sistema SIVIC.</t>
  </si>
  <si>
    <t>Víctimas caracterizadas</t>
  </si>
  <si>
    <t>BP2600300910201</t>
  </si>
  <si>
    <t>Ingresar a través de 1 módulo ampliado e intregados al SIVIC, 30.000 víctimas del conflicto armado.</t>
  </si>
  <si>
    <t>Víctimas incluidas en el Registro Único de Víctimas</t>
  </si>
  <si>
    <t>Porcentaje de atención de solicitudes recibidas por canales no presenciales habilitados para servicios de atención y orientación</t>
  </si>
  <si>
    <t>Fortalecimiento de la atención a las víctimas del conflicto armado a través de canales no presenciales en Santiago de Cali</t>
  </si>
  <si>
    <t>BP26003726</t>
  </si>
  <si>
    <t>BP2600372610101</t>
  </si>
  <si>
    <t>Personas víctimas del conflicto armado que reciben asistencia psico jurídica especializada frente al goce efectivo de sus derechos a la verdad, la justicia, la reparación y la no repetición</t>
  </si>
  <si>
    <t>Asistencia a víctimas de manera psicosocial y jurídicamente frente al goce de sus derechos ante las entidades del Sistema Integral de Verdad, Justicia, Reparación y No Repetición Cali</t>
  </si>
  <si>
    <t>BP26003510</t>
  </si>
  <si>
    <t>BP2600351010101</t>
  </si>
  <si>
    <t>Personas víctimas del conflicto armado que reciben asistencia psico jurídica especializada</t>
  </si>
  <si>
    <t>Realizar asistencia psico jurídica especializada a 220 personas víctimas del conflicto armado.</t>
  </si>
  <si>
    <t xml:space="preserve">Victimas informadas sobre oferta institucional  </t>
  </si>
  <si>
    <t>BP2600351010201</t>
  </si>
  <si>
    <t>Reconocer, recordar y dignificar a 20 personas víctimas del conflicto armado.</t>
  </si>
  <si>
    <t>Víctimas reconocidas, recordadas y dignificadas por el Estado</t>
  </si>
  <si>
    <t>Personas víctimas del conflicto armado que se benefician de la estrategia "Reparar para Reconciliar" con enfoque diferencial</t>
  </si>
  <si>
    <t>Reparación a víctimas del conflicto armado mediante la estrategia Reparar para Reconciliar en Santiago de Cali</t>
  </si>
  <si>
    <t>BP26003531</t>
  </si>
  <si>
    <t>BP2600353110101</t>
  </si>
  <si>
    <t xml:space="preserve">Caracterizar a 957 víctimas del conflicto armado durante la estrategia "Reparar para Reconciliar". </t>
  </si>
  <si>
    <t>BP2600353110201</t>
  </si>
  <si>
    <t>Víctimas con atención psicosocial en modalidad individual, familiar, comunitaria y grupal.</t>
  </si>
  <si>
    <t>Organizaciones que reciben apoyo para su participación e incidencia ante las entidades del Sistema Integral de Verdad, Justicia Reparación y No Repetición</t>
  </si>
  <si>
    <t>Apoyo a las organizaciones de víctimas ante las entidades del Sistema Integral de Verdad, Justicia, Reparación y No Repetición - SIVJRNR   Cali</t>
  </si>
  <si>
    <t>BP26003509</t>
  </si>
  <si>
    <t>BP2600350910101</t>
  </si>
  <si>
    <t>Asistir a 50 organizaciones en participación e incidencia antes las entidades del SIVJRNP.</t>
  </si>
  <si>
    <t>Instituciones y organizaciones asistidas técnicamente</t>
  </si>
  <si>
    <t>Personas víctimas del conflicto armado capacitados en mecanismos de reparación y restitución de derechos</t>
  </si>
  <si>
    <t>Capacitación a víctimas del conflicto armado en mecanismos de reparación y restitución de derechos Cali</t>
  </si>
  <si>
    <t>BP26003514</t>
  </si>
  <si>
    <t>BP2600351410101</t>
  </si>
  <si>
    <t>Planes de Funcionamiento de la Mesa Distrital de Participación Efectiva de Víctimas aprobado y ejecutado</t>
  </si>
  <si>
    <t>Apoyo al funcionamiento de la Mesa Municipal de Participación Efectiva de Víctimas en Santiago de  Cali</t>
  </si>
  <si>
    <t>BP26003016</t>
  </si>
  <si>
    <t>BP2600301610101</t>
  </si>
  <si>
    <t>Garantizar un plan de funcionamiento de mesa distrital en donde se realizará un evento de participación.</t>
  </si>
  <si>
    <t>Eventos de participación realizados</t>
  </si>
  <si>
    <t>BP2600301610201</t>
  </si>
  <si>
    <t>Brindar oferta institucional a los 28 participantes en la Mesa Distrital de Víctimas.</t>
  </si>
  <si>
    <t>Víctimas informadas sobre oferta institucional</t>
  </si>
  <si>
    <t>Eventos conmemorativos para las víctimas como medidas de satisfacción</t>
  </si>
  <si>
    <t>Elaboración de eventos conmemorativos como medida de satisfacción de las víctimas del conflicto armado en Santiago de Cali</t>
  </si>
  <si>
    <t>BP26003013</t>
  </si>
  <si>
    <t>BP2600301310101</t>
  </si>
  <si>
    <t>Encuentros regionales de prevención y articulación de las acciones para mitigación de efectos de desplazamiento y alistamiento de los municipios receptores</t>
  </si>
  <si>
    <t>Desarrollo de encuentros regionales de prevención y articulación para mitigar los efectos de desplazamiento y alistamiento de los municipios receptores en Santiago de Cali</t>
  </si>
  <si>
    <t>BP26003511</t>
  </si>
  <si>
    <t>BP2600351110101</t>
  </si>
  <si>
    <t>Encuentros regionales de prevención y articulación de las acciones para mitigación de efectos de desplazamiento</t>
  </si>
  <si>
    <t>Misiones humanitarias realizadas</t>
  </si>
  <si>
    <t xml:space="preserve">Poblaciones Construyendo Territorio </t>
  </si>
  <si>
    <t xml:space="preserve">Cariños, Puro Corazón por la Primera Infancia </t>
  </si>
  <si>
    <t>Sistema Distrital de Atención Integral a la Primera Infancia</t>
  </si>
  <si>
    <t>Conformación del sistema distrital de atención integral a la primera infancia en Santiago de   Cali</t>
  </si>
  <si>
    <t>BP26003503</t>
  </si>
  <si>
    <t>Subsecretaría de la Primera Infancia</t>
  </si>
  <si>
    <t>BP2600350310101</t>
  </si>
  <si>
    <t>Constituir un Sistema Distrital de Atención Integral a la Primera Infancia en la que se asiste técnicamente a 5 instituciones.</t>
  </si>
  <si>
    <t>Instituciones y entidades asistidas técnicamente</t>
  </si>
  <si>
    <t>Mantenimiento de las Unidades de Transformación Social - UTS de atención Integral a la Primera Infancia</t>
  </si>
  <si>
    <t>BP26002756</t>
  </si>
  <si>
    <t>Fortalecimiento de las condiciones físicas y técnicas de las infraestructuras de las unidades de trasformación social de primera infancia en Santiago de Cali</t>
  </si>
  <si>
    <t>BP2600275610101</t>
  </si>
  <si>
    <t>Realizar el mantenimiento preventivo en las 18 infraestructuras de las Unidades de Transformación Social, que son propiedad del Distrito.</t>
  </si>
  <si>
    <t>Edificaciones de atención a la primera infancia adecuadas</t>
  </si>
  <si>
    <t>Niñas, Niños, Mujeres gestantes y madres lactantes atendidas con el Programa Cariños para la Atención Integral a la Primera Infancia</t>
  </si>
  <si>
    <t>Desarrollo de modalidades de Atención Integral a la Primera Infancia en el marco del modelo CARIÑOS en el Distrito de Cali</t>
  </si>
  <si>
    <t>BP26004388</t>
  </si>
  <si>
    <t>BP2600438810101</t>
  </si>
  <si>
    <t>Atender a 10.161 niños, niñas, mujeres gestantes y madres lactantes con el programa cariños como parte de un servicio de atención integral.</t>
  </si>
  <si>
    <t>Niños y niñas atendidos en servicios integrales</t>
  </si>
  <si>
    <t>BP2600438810201</t>
  </si>
  <si>
    <t>Dotar a 18 UTS del Distrito para la atención a la primera infancia.</t>
  </si>
  <si>
    <t>Edificaciones de atención a la primera infancia dotadas</t>
  </si>
  <si>
    <t>BP2600438810301</t>
  </si>
  <si>
    <t>Prestar servicio de educación informal a 1.492 agentes educativos.</t>
  </si>
  <si>
    <t>Agentes de la institucionalidad de infancia, adolescencia y juventud asistidos técnicamente</t>
  </si>
  <si>
    <t xml:space="preserve">Organismos articulados intersectorial e interinstitucionalmente en la implementación de estrategias de movilización social </t>
  </si>
  <si>
    <t>Apoyo para la articulación intersectorial e interinstitucional para la movilización social en Santiago de  Cali</t>
  </si>
  <si>
    <t>BP26003541</t>
  </si>
  <si>
    <t>BP2600354110201</t>
  </si>
  <si>
    <t>Articular a una organización en procesos y acciones de conmemoración y visibilización de la población de primera infancia como sujetos de derechos.</t>
  </si>
  <si>
    <t>BP2600354110301</t>
  </si>
  <si>
    <t>Asistir tecnicamente a 18 comunidades en el fortalecimiento del tejido social y construcción de escenarios comunitarios protectores de derechos.</t>
  </si>
  <si>
    <t>Niñas, niños y mujeres gestantes de las UTS de Atención Integral a la Primera Infancia con seguimiento en la Ruta Integral de Atenciones - RIA</t>
  </si>
  <si>
    <t>Implementación de la ruta integral de atenciones a niños, niñas y mujeres gestantes en Santiago de Cali</t>
  </si>
  <si>
    <t>BP26003459</t>
  </si>
  <si>
    <t>BP2600345910101</t>
  </si>
  <si>
    <t>Realizar seguimiento al 100% de niñas, niños y mujeres gestantes de las UTS de Atención Integral a la Primera Infancia, a través del RIA.</t>
  </si>
  <si>
    <t>Usuarios del sistema</t>
  </si>
  <si>
    <t>Personas participando de estrategias de promoción de los derechos y prevención de sus vulneraciones</t>
  </si>
  <si>
    <t>Fortalecimiento a la promoción de Derechos, prevención de vulneraciones y de la alta permanencia en calle de  los niños,niñas y adolescentes en el marco de la  implementación de la política publica  de primera infancia y adolescencia en Santiago de  Cali</t>
  </si>
  <si>
    <t>BP26002613</t>
  </si>
  <si>
    <t>Subsecretaría de Poblaciones y Etnias</t>
  </si>
  <si>
    <t>BP2600261310201</t>
  </si>
  <si>
    <t>Garantizar la participación de 100 familias, conformadas por 100 personas  en el marco de la estrategia de promoción de derechos.</t>
  </si>
  <si>
    <t>Familias  atendidas</t>
  </si>
  <si>
    <t>BP2600261310401</t>
  </si>
  <si>
    <t>Realizar capacitación a 50 personas en relación  a la prevención de vulneraciones.</t>
  </si>
  <si>
    <t>Hogares de paso para la atención inmediata, provisional e integral de NNA con vulneración de derechos, funcionando</t>
  </si>
  <si>
    <t>Fortalecimiento a la atención integral de niños, niñas y adolescentes con derechos vulnerados en hogares de paso en Santiago de Cali</t>
  </si>
  <si>
    <t>BP26003501</t>
  </si>
  <si>
    <t>BP2600350110101</t>
  </si>
  <si>
    <t>Niños, niñas, adolescentes y jóvenes atendidos con servicio de protección para el restablecimiento de derechos</t>
  </si>
  <si>
    <t>BP2600350110201</t>
  </si>
  <si>
    <t>Ejecutar 2 acciones para la atencion inmediata en los hogares de paso.</t>
  </si>
  <si>
    <t>Acciones ejecutadas con las comunidades</t>
  </si>
  <si>
    <t>Espacios juveniles de participación con procesos de liderazgo, normativa juvenil y gestión organizacional acompañados, apoyados y formados</t>
  </si>
  <si>
    <t>Apoyo a los espacios juveniles de participación en el marco de la Política Pública de Juventudes de Santiago de Cali</t>
  </si>
  <si>
    <t>BP26002652</t>
  </si>
  <si>
    <t>BP2600265210101</t>
  </si>
  <si>
    <t>Agentes de la institucionalidad de infancia, adolescencia y juventud  asistidos técnicamente</t>
  </si>
  <si>
    <t>BP2600265210201</t>
  </si>
  <si>
    <t>Ejecutar 8 acciones de participación de las juventudes en el Subsistema de juventudes.</t>
  </si>
  <si>
    <t>Organizaciones juveniles con procesos sociales y comunitarios apoyadas técnicamente</t>
  </si>
  <si>
    <t>Apoyo al desarollo de iniciativas sociales innovadoras de jóvenes en organizaciones juveniles de Santiago de Cali</t>
  </si>
  <si>
    <t>BP26002648</t>
  </si>
  <si>
    <t>BP2600264810101</t>
  </si>
  <si>
    <t>Ejecutar 40 acciones con comunidades y/o organizaciones juveniles.</t>
  </si>
  <si>
    <t>BP2600264810201</t>
  </si>
  <si>
    <t>Realizar 4 campañas de promoción en el marco de los procesos comunitarios.</t>
  </si>
  <si>
    <t>Campañas de promoción realizadas</t>
  </si>
  <si>
    <t>Medios virtuales para la información, consulta y atención de jóvenes desarrollados e implementados</t>
  </si>
  <si>
    <t>Apoyo a medios virtuales para la información, comunicación, acceso y consulta de la población juvenil de Santiago de Cali</t>
  </si>
  <si>
    <t>BP26002651</t>
  </si>
  <si>
    <t>BP2600265110101</t>
  </si>
  <si>
    <t>Realizar 1 campaña de promoción en el marco de la implementación de los 2 medios virtuales.</t>
  </si>
  <si>
    <t>BP2600265110201</t>
  </si>
  <si>
    <t>Ejecutar 1 acción con comunidades.</t>
  </si>
  <si>
    <t>Personas Mayores Envejeciendo con Bienestar</t>
  </si>
  <si>
    <t>Atención psicosocial, personal y familiar a la población adulta mayor de comunas y corregimientos</t>
  </si>
  <si>
    <t>Apoyo para la promoción de estilos de vida saludable en las personas mayores de la comuna 19 de Santiago de  Cali</t>
  </si>
  <si>
    <t xml:space="preserve">BP26004993 </t>
  </si>
  <si>
    <t>BP2600499320101</t>
  </si>
  <si>
    <t>Atender a 160 adultos mayores a través de la atención psicosocial, personal y familiar.</t>
  </si>
  <si>
    <t>Adultos mayores atendidos con servicios integrales</t>
  </si>
  <si>
    <t>Personas mayores atendidas en modalidad hogar larga estancia y hogar de paso</t>
  </si>
  <si>
    <t>Servicio de Protección Social Integral en la Modalidad de Larga Estancia para las personas mayores del Distrito de Santiago de Cali</t>
  </si>
  <si>
    <t xml:space="preserve">BP26004815 </t>
  </si>
  <si>
    <t>BP2600481510101</t>
  </si>
  <si>
    <t>Atender a 282 adultos mayores en situación de abandono mediante el servicio de albergue de larga estancia.</t>
  </si>
  <si>
    <t>Personas mayores en modalidad Centros Vida atendidas</t>
  </si>
  <si>
    <t>Implementación de un modelo de atención a través de un centro vida para personas mayores en Santiago de Cali</t>
  </si>
  <si>
    <t>BP26002658</t>
  </si>
  <si>
    <t>BP2600265810101</t>
  </si>
  <si>
    <t>Atender a 660 personas mayores en modalidad centros vida atendidas.</t>
  </si>
  <si>
    <t>Adultos mayores que reciben atención y protección integral</t>
  </si>
  <si>
    <t>BP2600265810201</t>
  </si>
  <si>
    <t>Adecuar 22 centros de dia para el adulto mayor.</t>
  </si>
  <si>
    <t>Centros de día para el adulto mayor dotados</t>
  </si>
  <si>
    <t>Cuidadores de personas mayores, formadas en cuidados, manejo, proyectos de vida y derechos</t>
  </si>
  <si>
    <t>Formación a cuidadores de personas mayores de la comuna 14 de Santiago de Cali</t>
  </si>
  <si>
    <t xml:space="preserve">BP26005021 </t>
  </si>
  <si>
    <t>BP2600502120101</t>
  </si>
  <si>
    <t>Brindar capacitación a 100 cuidadores de personas mayores.</t>
  </si>
  <si>
    <t>Cuidadores cualificados</t>
  </si>
  <si>
    <t>Personas con discapacidad, sus familias y cuidadores atendidos en abordaje de la discapacidad, derechos, redes de apoyo, incidencia, organización, desarrollo de habilidades para la vida y el trabajo</t>
  </si>
  <si>
    <t>Servicio de atención a personas con discapacidad, sus familias y cuidadores de Santiago de Cali</t>
  </si>
  <si>
    <t>BP26003181</t>
  </si>
  <si>
    <t>BP2600318110101</t>
  </si>
  <si>
    <t>Atender a 500 personas con discapacidad, sus familias y cuidadores para quienes se gestiona la oferta social.</t>
  </si>
  <si>
    <t>Beneficiarios potenciales para quienes se gestiona la oferta social</t>
  </si>
  <si>
    <t>BP2600318110201</t>
  </si>
  <si>
    <t>Dotar 1 centro comunitario.</t>
  </si>
  <si>
    <t>Centros comunitarios dotados</t>
  </si>
  <si>
    <t>Fortalecimiento de las capacidades en las personas con discapacidad, sus familias y cuidadores en Santiago de Cali</t>
  </si>
  <si>
    <t xml:space="preserve">BP26004814 </t>
  </si>
  <si>
    <t>BP2600481420101</t>
  </si>
  <si>
    <t>Atender a 1.200 personas con discapacidad, sus familias y cuidadores brindando apoyo para su habilitación y/o rehabilitación funcional.</t>
  </si>
  <si>
    <t>Productos de apoyo para la movilidad y desplazamiento de las Personas con discapacidad, entregados</t>
  </si>
  <si>
    <t>Adquisición de productos de apoyo  para la movilización y el transporte de las personas con discapacidad de Santiago de Cali</t>
  </si>
  <si>
    <t>BP26002681</t>
  </si>
  <si>
    <t>BP2600268110101</t>
  </si>
  <si>
    <t>Entregar 190 ayudas técnicas y/o elementos de apoyo a personas con discapacidad.</t>
  </si>
  <si>
    <t xml:space="preserve">Beneficiarios potenciales para quienes se gestiona la oferta social </t>
  </si>
  <si>
    <t>BP2600268110201</t>
  </si>
  <si>
    <t>Realizar acompañamiento a 200 hogares en el proceso de rehabilitacion.</t>
  </si>
  <si>
    <t xml:space="preserve">Hogares con acompañamiento familiar </t>
  </si>
  <si>
    <t>Planes estratégicos para Consejos Comunitarios, Organizaciones de Base Afro y Colonias Afrocolombianas, diseñado e implementado</t>
  </si>
  <si>
    <t>Apoyo en la formulación de planes estratégicos sectoriales en organizaciones de base afro, consejos comunitarios, colonias afrocolombianas en el marco de la implementación de la Política Pública Caliafro en Santiago de Cali</t>
  </si>
  <si>
    <t>BP26003522</t>
  </si>
  <si>
    <t>BP2600352210101</t>
  </si>
  <si>
    <t>Implementar un plan estratégico para consejos comunitarios, organizaciones de base Afro y colonias afrocolombianas plasmados en 1 informe de monitoreo y seguimiento.</t>
  </si>
  <si>
    <t>Informes de monitoreo y seguimiento elaborados</t>
  </si>
  <si>
    <t>Estrategias para transversalizar los enfoques étnico, racial, diferencial y poblacional en contextos políticos sociales y culturales, diseñadas e implementadas</t>
  </si>
  <si>
    <t>Apoyo organizacional en el marco de la implementación de la política publica CaliAfro Santiago de  Cali</t>
  </si>
  <si>
    <t>BP26004720</t>
  </si>
  <si>
    <t>BP2600472010101</t>
  </si>
  <si>
    <t>Brindar oferta institucional a 6.000 personas de las comunidades negras.</t>
  </si>
  <si>
    <t>En el periodo de enero a marzo, se inició el acompañamiento en las mesas técnicas interinstitucionales que buscan soluciones a las problematicas de la violencia de los jóvenes afro de las comunas del oriente de la ciudad de Cali. En este proceso se benefició a 2 personas con la oferta institucional.</t>
  </si>
  <si>
    <t>BP2600472010201</t>
  </si>
  <si>
    <t xml:space="preserve">Elaborar 4 informes de monitoreo y seguimiento en el marco de la implementación de la política pública CaliAfro. </t>
  </si>
  <si>
    <t>En lo correspondiente de enero a marzo, se inició el alistamiento para el  informe de seguimiento a la Política Pública CaliAfro.</t>
  </si>
  <si>
    <t>BP2600472010301</t>
  </si>
  <si>
    <t xml:space="preserve">Realizar un documento de investigacion para fortalecer la gestión de recursos para la transversalización de la política pública CaliAfro. </t>
  </si>
  <si>
    <t>Implementación de los Planes de Etnodesarrollo para los Consejos Comunitarios</t>
  </si>
  <si>
    <t>Implementacion de los Planes de Etnodesarrollo de los Consejos de Comunidades Negras, Afrocolombianas, Raizales y Palenqueras de Santiago de Cali</t>
  </si>
  <si>
    <t>BP26002780</t>
  </si>
  <si>
    <t>BP2600278010101</t>
  </si>
  <si>
    <t>Implementar dos planes etnodesarrollo a través de 1 informe de monitoreo y seguimiento.</t>
  </si>
  <si>
    <t>BP2600278010201</t>
  </si>
  <si>
    <t>Realizar un documento de investigacion para el Plan de Etnodesarrollo de  los Consejos de Comunidades Negras.</t>
  </si>
  <si>
    <t>Calidiversidad</t>
  </si>
  <si>
    <t>Población LGBTIQ+ con atención psicosocial y jurídica por la violación de derechos, con un enfoque diferencial de diversidad sexual y de géneros</t>
  </si>
  <si>
    <t>Desarrollo de estrategias de atención a población LGBTIQ+ en Santiago de Cali</t>
  </si>
  <si>
    <t>BP26002665</t>
  </si>
  <si>
    <t>BP2600266510101</t>
  </si>
  <si>
    <t>BP2600266510201</t>
  </si>
  <si>
    <t>Dotar 1 centro de atención presencial a la poblaciòn LGBTIQ+</t>
  </si>
  <si>
    <t>Instituciones Públicas y Privadas sensibilizadas en el enfoque de derechos, diversidad sexual y de géneros y Política Pública CaliDiversidad</t>
  </si>
  <si>
    <t>Desarrollo de estrategias de sensibilización con enfoque en derechos, diversidad sexual y de géneros en instituciones públicas y privadas de Santiago de Cali</t>
  </si>
  <si>
    <t>BP26002666</t>
  </si>
  <si>
    <t>BP2600266610101</t>
  </si>
  <si>
    <t>Realizar 5 espacios de integración en el que sensibiliza sobre la Política Pública CaliDiversidad.</t>
  </si>
  <si>
    <t>Espacios de integración de oferta pública generados</t>
  </si>
  <si>
    <t>BP2600266610201</t>
  </si>
  <si>
    <t>Brindar capacitación a 100 personas sobre la Política Pública de CaliDiversidad.</t>
  </si>
  <si>
    <t>Estrategias para el fortalecimiento del proyecto de vida a través del desarrollo de habilidades, capacidades e iniciativas de la población LGBTIQ+, implementadas</t>
  </si>
  <si>
    <t>Implementación de estrategias para el fortalecimiento del proyecto de vida de la población LGBTIQ+ en Santiago de Cali</t>
  </si>
  <si>
    <t>BP26002671</t>
  </si>
  <si>
    <t>BP2600267110101</t>
  </si>
  <si>
    <t>Realizar una estrategia para el fortalecimiento del proyecto de vida en el que se capacitan a 40 personas LGBTIQ+</t>
  </si>
  <si>
    <t>BP2600267110201</t>
  </si>
  <si>
    <t>Realizar un boletín sobre la estrategia de fortalecimiento del proyecto de vida de las personas beneficiadas.</t>
  </si>
  <si>
    <t>Boletines estadísticos producidos</t>
  </si>
  <si>
    <t>Prevención y Abordaje Integral del Fenómeno de Habitabilidad en Calle</t>
  </si>
  <si>
    <t>Habitantes de y en calle atendidos anualmente en el territorio y en los centros de atención, desde un enfoque de derechos para la dignificación de la vida en calle</t>
  </si>
  <si>
    <t>Fortalecimiento del Sistema de Atención Integral a los ciudadanos habitantes de y en calle de Santiago de  Cali</t>
  </si>
  <si>
    <t>BP26003135</t>
  </si>
  <si>
    <t>BP2600313510101</t>
  </si>
  <si>
    <t>BP2600313510201</t>
  </si>
  <si>
    <t xml:space="preserve">Personas asistidas en temas  de desarrollo de habilidades no cognitivas </t>
  </si>
  <si>
    <t>Todas las Mujeres Todos los Derechos</t>
  </si>
  <si>
    <t>Casa Matria al servicio de las mujeres operando</t>
  </si>
  <si>
    <t>Mejoramiento integral de Casa Matria y su sede para la atención de mujeres víctimas de violencia basadas en género en Santiago de Cali</t>
  </si>
  <si>
    <t>BP26004497</t>
  </si>
  <si>
    <t>BP2600449710101</t>
  </si>
  <si>
    <t>Adecuar 2 sedes para el servicio de las mujeres (Casa Matria Janambú y Casa Matria Oriente).</t>
  </si>
  <si>
    <t>Sedes adecuadas</t>
  </si>
  <si>
    <t>BP2600449710301</t>
  </si>
  <si>
    <t>Poner en operación dos espacios destinados a la oferta pública para las mujeres.</t>
  </si>
  <si>
    <t>Personas vinculadas a la estrategia de prevención de violencias contra la mujer e intervención social desde la perspectiva de género</t>
  </si>
  <si>
    <t>Fortalecimiento de la estrategia de prevención de violencias basadas en género en Santiago de   Cali</t>
  </si>
  <si>
    <t>BP26003031</t>
  </si>
  <si>
    <t>BP2600303110101</t>
  </si>
  <si>
    <t>BP2600303110201</t>
  </si>
  <si>
    <t>Realizar 8 estrategias territoriales  de comunicación  que fortalezcan los procesos de prevención de violencias basadas en género.</t>
  </si>
  <si>
    <t>Estrategias de promoción de la garantía de derechos implementadas</t>
  </si>
  <si>
    <t>Apoyo a la estrategia de prevención de violencias contra la mujer desde el enfoque de género en la Comuna 1 de Santiago de Cali</t>
  </si>
  <si>
    <t>BP26005070</t>
  </si>
  <si>
    <t>BP2600507020101</t>
  </si>
  <si>
    <t>Beneficiar a 100 mujeres a través de la estrategia de prevención de violencias contra la mujer.</t>
  </si>
  <si>
    <t>BP2600507020201</t>
  </si>
  <si>
    <t>Brindar apoyo a 100 mujeres, a través de las iniciativas productivas.</t>
  </si>
  <si>
    <t>Unidades productivas capitalizadas</t>
  </si>
  <si>
    <t>Mujeres víctimas de violencias basadas en género y su núcleo familiar con atención y orientación desde el enfoque de género y diferencial</t>
  </si>
  <si>
    <t>Asistencia primaria a mujeres víctimas de violencias basadas en género en el Distrito de Santiago de Cali</t>
  </si>
  <si>
    <t>BP26003027</t>
  </si>
  <si>
    <t>BP2600302710201</t>
  </si>
  <si>
    <t>Apoyo al proceso de atención integral modalidad acogida a mujeres y su núcleo familiar en Santiago de Cali</t>
  </si>
  <si>
    <t>BP26003028</t>
  </si>
  <si>
    <t>BP2600302810101</t>
  </si>
  <si>
    <t>Dotar un centro comunitario para la atención integral a mujeres víctimas de violencias basadas en género.</t>
  </si>
  <si>
    <t>BP2600302810201</t>
  </si>
  <si>
    <t>Brindar atención y orientación a 140 mujeres víctimas de violencias basadas en género.</t>
  </si>
  <si>
    <t>Estrategias de investigación sobre género y prevención de violencias contra las mujeres en contextos educativos, sociales y laborales diseñados e implementados</t>
  </si>
  <si>
    <t>Investigación y Gestión del Conocimiento en Género y Violencias Contra las Mujeres en Contextos Comunitarios y Sociales en Santiago de Cali</t>
  </si>
  <si>
    <t>BP26003528</t>
  </si>
  <si>
    <t>BP2600352810201</t>
  </si>
  <si>
    <t>Estrategias de investigación sobre género y prevención de violencias contra las mujeres en contextos educativos, sociales y laborales diseñadas e implementadas</t>
  </si>
  <si>
    <t>Realizar un documento metodológico.</t>
  </si>
  <si>
    <t>Sistema Distrital del Cuidado, diseñado y en proceso de implementación</t>
  </si>
  <si>
    <t>Implementación de un Sistema Distrital de Cuidados desde el enfoque de género y diferencial para Santiago de Cali</t>
  </si>
  <si>
    <t>BP2600373510101</t>
  </si>
  <si>
    <t>BP2600373510201</t>
  </si>
  <si>
    <t>Generar un espacio de integración de oferta pública en el que se implementa el Sistema Distrital del Cuidado.</t>
  </si>
  <si>
    <t>Seguridad y Soberanía Alimentaria</t>
  </si>
  <si>
    <t>Población atendida diariamente en comedores comunitarios y otros modelos de asistencia alimentaria con enfoque de corresponsabilidad</t>
  </si>
  <si>
    <t>Fortalecimiento del programa para el mejoramiento de la calidad de vida de la población en pobreza extrema a traves de la seguridad alimentaria y el acompañamiento psicosocial en Santiago de Cali</t>
  </si>
  <si>
    <t>BP26004132</t>
  </si>
  <si>
    <t>BP2600413210101</t>
  </si>
  <si>
    <t>Atender a 45.322 personas en vulnerabilidad alimentaria a traves de comedores comunitarios y otras modalidades de asistencia alimentaria.</t>
  </si>
  <si>
    <t>Personas beneficiadas con raciones de alimentos</t>
  </si>
  <si>
    <t>BP2600413210201</t>
  </si>
  <si>
    <t>Beneficiar a 17.663 personas con la oferta social en terminos de intervención psicosocial y apoyo logístico.</t>
  </si>
  <si>
    <t>Raciones entregadas a niños y niñas atendidos en recuperación nutricional</t>
  </si>
  <si>
    <t>Fortalecimiento del programa para la recuperación nutricional de niños y niñas en condición de desnutrición crítica en Santiago de Cali</t>
  </si>
  <si>
    <t>BP26004725</t>
  </si>
  <si>
    <t>BP2600472510101</t>
  </si>
  <si>
    <t>Entregar 148.320 raciones en el que se benefician a 275 niños y niñas en recuperación nutricional.</t>
  </si>
  <si>
    <t>BP2600472510201</t>
  </si>
  <si>
    <t>Realizar un documento de investigacion sobre una dinámica multicausal que inciden en la desnutrición de los niños y niñas.</t>
  </si>
  <si>
    <t>Personal de la Administración Pública con formación en perspectiva de género y enfoque diferencial</t>
  </si>
  <si>
    <t>Apoyo para la transversalización de la política pública de mujer en Santiago de Cali</t>
  </si>
  <si>
    <t>BP26003733</t>
  </si>
  <si>
    <t>Subsecretaría Equidad de Género</t>
  </si>
  <si>
    <t>BP2600373310101</t>
  </si>
  <si>
    <t xml:space="preserve">Apoyar la participación de 6 organismos asistidos técnicamente. </t>
  </si>
  <si>
    <t>BP2600373310201</t>
  </si>
  <si>
    <t>Capacitar a 150 mujeres en procesos de la administración en Perspectiva de Género, enfoques diferenciales, marcos normativos y Políticas de Equidad de Género.</t>
  </si>
  <si>
    <t>Red de gestión de información y del conocimiento diseñado y operado al interior del organismo</t>
  </si>
  <si>
    <t>Fortalecimiento de la red de gestión de información de la Secretaría de Bienestar Social de Santiago de Cali</t>
  </si>
  <si>
    <t>BP26003384</t>
  </si>
  <si>
    <t>Unidad de Apoyo a la Gestión</t>
  </si>
  <si>
    <t>BP2600338410101</t>
  </si>
  <si>
    <t xml:space="preserve">Operar un sistema sobre la red de gestión de información que permita una cultura organizacional sólida de la Secretaría de Bienestar Social. </t>
  </si>
  <si>
    <t>Gestión de Información Estadística y Geográfica para la Evaluación de Resultados.</t>
  </si>
  <si>
    <t>Políticas Públicas sociales con monitoreo y seguimiento</t>
  </si>
  <si>
    <t>Consolidación del observatorio de políticas sociales de cali</t>
  </si>
  <si>
    <t>BP26002760</t>
  </si>
  <si>
    <t>BP2600276010101</t>
  </si>
  <si>
    <t xml:space="preserve">Realizar un documento de lineamiento tecnico elaborado con una metodología para el seguimiento, monitoreo y evaluación de 9 Políticas Publicas  Sociales. </t>
  </si>
  <si>
    <t>BP2600276010102</t>
  </si>
  <si>
    <t>Implementar un sistema de información para el seguimiento y monitoreo de 9 Políticas Públicas.</t>
  </si>
  <si>
    <t>BP2600276010201</t>
  </si>
  <si>
    <t>Realizar capacitación a 10 personas en relación al sistema de seguimiento.</t>
  </si>
  <si>
    <t>Control y seguimiento de la política pública de las mujeres de Santiago de Cali</t>
  </si>
  <si>
    <t>BP26003734</t>
  </si>
  <si>
    <t>BP2600373410101</t>
  </si>
  <si>
    <t>Realizar un documento para el seguimiento de Politica Pública de las Mujeres..</t>
  </si>
  <si>
    <t xml:space="preserve">Documentos de politica elaborados </t>
  </si>
  <si>
    <t>BP2600373410201</t>
  </si>
  <si>
    <t>Realizar un documento  metodologico de seguimiento  y actualizacion de la Politica Pública de mujeres.</t>
  </si>
  <si>
    <t>Cali, solidaria por la vida</t>
  </si>
  <si>
    <t xml:space="preserve">Dignificando la Vivienda  </t>
  </si>
  <si>
    <t>Soluciones habitacionales VIP y VIS generadas</t>
  </si>
  <si>
    <t>Implementación de proyectos habitacionales VIP y VIS en Santiago de Cali</t>
  </si>
  <si>
    <t>BP26002730</t>
  </si>
  <si>
    <t>BP2600273010101</t>
  </si>
  <si>
    <t xml:space="preserve">Elaborar 1 documento técnico que soporte la generación de oferta habitacional </t>
  </si>
  <si>
    <t>Secretaria de Vivienda Social y Habitat - Subsecretaria de Gestion de Suelo y Oferta de Vivienda (SGOV)</t>
  </si>
  <si>
    <t>BP2600273010201</t>
  </si>
  <si>
    <t xml:space="preserve">Realizar 1 estudio técnico/jurídico a los hogares postulantes al Subsidio Distrital de Vivienda </t>
  </si>
  <si>
    <t>Entidades territoriales asistidas técnicamente</t>
  </si>
  <si>
    <t xml:space="preserve">BP2600273010202 </t>
  </si>
  <si>
    <t xml:space="preserve">Asignar y/o transferir 107 Subsidios Distritales de Vivienda </t>
  </si>
  <si>
    <t>Hogares beneficiados con adquisición de vivienda</t>
  </si>
  <si>
    <t>Suelo gestionado para construcción de vivienda VIS y VIP</t>
  </si>
  <si>
    <t>Incremento del suelo gestionado para el desarrollo de proyectos de vivienda VIP, VIS y hábitat en Santiago de Cali</t>
  </si>
  <si>
    <t>BP26003629</t>
  </si>
  <si>
    <t>BP2600362910101</t>
  </si>
  <si>
    <t xml:space="preserve">Realizar adecuaciones sobre terrenos  para el desarrollo de proyectos habitacionales y de habitat </t>
  </si>
  <si>
    <t>Bienes fiscales saneados y titulados</t>
  </si>
  <si>
    <t>BP2600362910201</t>
  </si>
  <si>
    <t xml:space="preserve">Analizar la información técnica en el proceso de generación de suelo para el desarrollo de proyectos habitacionales y de habitat </t>
  </si>
  <si>
    <t>Viviendas mejoradas en zona urbana y/o rural</t>
  </si>
  <si>
    <t>Apoyo para mejoramiento de Vivienda en Santiago de Cali</t>
  </si>
  <si>
    <t>BP26002664</t>
  </si>
  <si>
    <t>BP2600266410101</t>
  </si>
  <si>
    <t>Realizar el estudio técnico/jurídico a 1000 hogares postulantes en el proceso de mejoramiento de vivienda</t>
  </si>
  <si>
    <t xml:space="preserve">PQR atendidas </t>
  </si>
  <si>
    <t>Secretaría de Vivienda Social y Habitat - Subsecretaria de Mejoramiento Integral y Legalización (SMIL)</t>
  </si>
  <si>
    <t>BP2600266410201</t>
  </si>
  <si>
    <t>Asignar y/o transferir 160 Subsidios Distritales de Vivienda en la modalidad Mejoramiento de Vivienda</t>
  </si>
  <si>
    <t>Hogares beneficiados con mejoramiento de una vivienda</t>
  </si>
  <si>
    <t xml:space="preserve">Estudio de tierras ejidales y lotes del distrito realizado </t>
  </si>
  <si>
    <t>Estudio de tierras ejidales, baldios y fiscales de Santiago de Cali</t>
  </si>
  <si>
    <t>BP26002768</t>
  </si>
  <si>
    <t>BP2600276810101</t>
  </si>
  <si>
    <t>Elaborar 1 documento del estado actual de los terrenos ejidos, baldíos y fiscales en Santiago de Cali</t>
  </si>
  <si>
    <t>BP2600276810201</t>
  </si>
  <si>
    <t>Elaborar 1 documento para definir la titularidad de los terrenos ejidos, baldíos y fiscales en Santiago de Cali</t>
  </si>
  <si>
    <t>Mejoramiento Integral del Hábitat</t>
  </si>
  <si>
    <t xml:space="preserve">Asentamientos humanos de desarrollo incompleto y/o precarios intervenidos </t>
  </si>
  <si>
    <t>Contribución al mejoramiento integral del habitat de asentamientos humanos en Santiago de Cali</t>
  </si>
  <si>
    <t>BP26002676</t>
  </si>
  <si>
    <t>BP2600267610101</t>
  </si>
  <si>
    <t>Realizar 1 actualización de la base de datos de los Asentamientos Humanos Precarios georreferenciados</t>
  </si>
  <si>
    <t>BP2600267610102</t>
  </si>
  <si>
    <t>Armonizar la implementación de los ejes de la política pública de mejoramiento integral del hábitat en Asentamientos Humanos Precarios</t>
  </si>
  <si>
    <t>BP2600267610201</t>
  </si>
  <si>
    <t>Intervenir 3 Asentamientos Humanos Precarios priorizados</t>
  </si>
  <si>
    <t>Implementación de proyectos de mejoramiento integral de hábitat en Santiago de  Cali</t>
  </si>
  <si>
    <t>BP26004131</t>
  </si>
  <si>
    <t>BP2600413110101</t>
  </si>
  <si>
    <t xml:space="preserve">Realizar 1 documento técnico de gestión por cada proyecto integral de habitat </t>
  </si>
  <si>
    <t>BP2600413110201</t>
  </si>
  <si>
    <t xml:space="preserve">Realizar 30.000 m2 en obras de intervención en los proyectos integrales de habitat </t>
  </si>
  <si>
    <t>Espacio público construido</t>
  </si>
  <si>
    <t xml:space="preserve">Reducción del Riesgo </t>
  </si>
  <si>
    <t xml:space="preserve">Hogares con subsidios municipal de vivienda de interés social, modalidad arrendamiento proceso reasentamiento </t>
  </si>
  <si>
    <t>Subsidio de vivienda en la modalidad arrendamiento por proceso de reasentamiento en el marco del Proyecto Plan Jarillón en Santiago de  Cali</t>
  </si>
  <si>
    <t>BP26002720</t>
  </si>
  <si>
    <t>BP2600272010101</t>
  </si>
  <si>
    <t>Realizar 1 estudio técnico/jurídico a los hogares postulantes al Subsidio Distrital de Vivienda la modalidad arrendamiento por proceso de reasentamiento en el marco del Proyecto Plan Jarillón en Santiago de Cali</t>
  </si>
  <si>
    <t>Entidades territoriales asistidas tecnicamente</t>
  </si>
  <si>
    <t>BP2600272010201</t>
  </si>
  <si>
    <t>Asignar y/o transferir 219 Subsidios Distritales de Vivienda en la modalidad arrendamiento por proceso de reasentamiento en el marco del Proyecto Plan Jarillón en Santiago de Cali</t>
  </si>
  <si>
    <t>Hogares beneficiados con arrendamiento de vivienda</t>
  </si>
  <si>
    <t>Área de asentamientos humanos en riesgo mitigable por movimientos en masa estabilizada</t>
  </si>
  <si>
    <t>Construcción de obras en zonas de ladera afectadas por movimientos en masa en Santiago de Cali</t>
  </si>
  <si>
    <t>BP26002767</t>
  </si>
  <si>
    <t>BP2600276710101</t>
  </si>
  <si>
    <t>BP2600276710201</t>
  </si>
  <si>
    <t>Realizar Interventoría a obras de mitigación de riesgo</t>
  </si>
  <si>
    <t xml:space="preserve">Adquisición de predios con títulos justificativo de dominio en zonas de riesgo no mitigable por inundaciones </t>
  </si>
  <si>
    <t>Adquisición de predios titulados localizados en zonas de riesgo no mitigables por inundación en Santiago de  Cali</t>
  </si>
  <si>
    <t>BP26002740</t>
  </si>
  <si>
    <t>BP2600274010101</t>
  </si>
  <si>
    <t xml:space="preserve">Realizar 1 informe que describa los predios objeto de adquisión con titulo justificativo de dominio ubicados a lo largo del Jarillón del rio Cauca </t>
  </si>
  <si>
    <t>Entidades territoriales asistidas técnica y jurídicamente</t>
  </si>
  <si>
    <t>BP2600274010301</t>
  </si>
  <si>
    <t xml:space="preserve">Realizar 1 informe que describa las condiciones financieras y mínimas de habitabilidad de las compensaciones entregadas por Plan Jarillon a los beneficiarios </t>
  </si>
  <si>
    <t>Hogares con planes de reasentamiento para hogares localizados en zonas de riesgo no mitigables formulados con procesos de concertación y garantía de derechos</t>
  </si>
  <si>
    <t>Caracterización de hogares localizados en zonas de riesgo no mitigable en asentamientos humanos de desarrollo incompleto de Santiago de   Cali</t>
  </si>
  <si>
    <t>BP26002713</t>
  </si>
  <si>
    <t>BP2600271310101</t>
  </si>
  <si>
    <t>Realizar 1 documento que contenga la información recopilada en la caracterización socioeconomica de los hogares localizados en zonas de riesgo no mitigables</t>
  </si>
  <si>
    <t>Proceso servicio de vivienda social certificado bajo la ISO 9001:2015</t>
  </si>
  <si>
    <t>Fortalecimiento del Sistema de Gestión de Calidad en la Secretaria de Vivienda Social y Habitat de Cali</t>
  </si>
  <si>
    <t>BP26002853</t>
  </si>
  <si>
    <t>BP2600285320101</t>
  </si>
  <si>
    <t>Certificar una línea de servicio para la Secretaría de Vivienda Social y Habitat</t>
  </si>
  <si>
    <t>Sistema de Gestión implementado</t>
  </si>
  <si>
    <t xml:space="preserve"> Secretaría de Vivienda Social y Habitat  - Unidad de Apoyo a la Gestión (UAG)</t>
  </si>
  <si>
    <t>Sistema de Gestión Documental de la Secretaría de Vivienda Social y Hábitat con expedientes sistematizados y organizados</t>
  </si>
  <si>
    <t>Apoyo en la sistematización y organización del sistema de Gestión documental de la secretaria de vivienda social y hábitat en Santiago de   Cali</t>
  </si>
  <si>
    <t>BP26002851</t>
  </si>
  <si>
    <t>BP2600285120101</t>
  </si>
  <si>
    <t>Sistematizar y organizar 1748 expedientes</t>
  </si>
  <si>
    <t>BP2600285120201</t>
  </si>
  <si>
    <t>Registrar datos/información en sistemas de información</t>
  </si>
  <si>
    <t xml:space="preserve">Sistemas de información  implementados </t>
  </si>
  <si>
    <t>Cartera por crédito de vivienda VIP – VIS, recuperado</t>
  </si>
  <si>
    <t>Fortalecimiento de la gestión para el recaudo de la cartera VIP y VIS en Santiago de Cali</t>
  </si>
  <si>
    <t>BP26002849</t>
  </si>
  <si>
    <t>BP2600284920101</t>
  </si>
  <si>
    <t>Recuperación de la cartera por crédito de vivienda VIP - VIS</t>
  </si>
  <si>
    <t>Recaudar 563 millones de pesos de cartera</t>
  </si>
  <si>
    <t>Hogares beneficiados con adquisición de vivienda </t>
  </si>
  <si>
    <t>BP2600284920201</t>
  </si>
  <si>
    <t xml:space="preserve">Registrar datos/información en sistemas de información </t>
  </si>
  <si>
    <t>Sistema de Información Implemetado</t>
  </si>
  <si>
    <t>Economía Incluyente, Creativa y Clústeres Estratégicos</t>
  </si>
  <si>
    <t>Territorios Creativos</t>
  </si>
  <si>
    <t>Parque de las cocinas, bebidas tradicionales y artesanías del Pacífico “Parque Pacífico” construido</t>
  </si>
  <si>
    <t>Implementación del parque de las cocinas, bebidas tradicionales y artesanías del pacífico “parque pacífico” de Santiago</t>
  </si>
  <si>
    <t>BP26004728</t>
  </si>
  <si>
    <t>Secretaría de Cultura - Subsecretaria de artes, creación y promoción</t>
  </si>
  <si>
    <t>BP2600472820101</t>
  </si>
  <si>
    <t>Elaborar un documento de lineamientos técnicos para la operación colaborativa del "Parque pacífico"</t>
  </si>
  <si>
    <t>En el marco de este producto, se elaboró el Plan de Gobernanza del Parque Pacifico y  se realizó reunión con la Autoridad Nacional de Licencias Ambientales ANLA con el objetivo de verificar las condiciones ambientales del Parque. También se programó mesa técnica con el DAGMA para buscar la viabilidad de la restitución arbórea.</t>
  </si>
  <si>
    <t>BP2600472820102</t>
  </si>
  <si>
    <t>Realizar 4 eventos para la promociono de actividades culturales</t>
  </si>
  <si>
    <t>Eventos de promoción de actividades culturales realizados</t>
  </si>
  <si>
    <t>BP2600472820201</t>
  </si>
  <si>
    <t>Construir  la fase 2, del parque pacífico</t>
  </si>
  <si>
    <t xml:space="preserve">Centros culturales construidos y dotados </t>
  </si>
  <si>
    <t>Organizaciones, grupos, artistas y/o productores de espectáculos públicos de las artes escénicas apoyados</t>
  </si>
  <si>
    <t>Fortalecimiento de la oferta de espectáculos públicos de las artes escénicas de  Cali</t>
  </si>
  <si>
    <t>BP26002886</t>
  </si>
  <si>
    <t>BP2600288610101</t>
  </si>
  <si>
    <t>Otorgar 5 estímulos, para mejorar o fortalecer  escenarios  de  Organizaciones  productoras de espectáculos públicos de las artes escénicas</t>
  </si>
  <si>
    <t>Estímulos otorgados</t>
  </si>
  <si>
    <t>Posicionamiento Local en el Ámbito Internacional</t>
  </si>
  <si>
    <t>Marca de Ciudad para un Distrito Especial</t>
  </si>
  <si>
    <t>Festivales de talla internacional realizados anualmente</t>
  </si>
  <si>
    <t>Fortalecimiento de Festivales de talla internacional con enfoque en lectura, escritura y oralidad en Santiago de  Cali</t>
  </si>
  <si>
    <t>BP26003677</t>
  </si>
  <si>
    <t>Secretaría de Cultura - Subsecretaria de patrimonio, bibliotecas e infraestructura</t>
  </si>
  <si>
    <t>BP2600367710101</t>
  </si>
  <si>
    <t>Realizar 2 encuentros artísticos y culturales de talla internacional</t>
  </si>
  <si>
    <t>Número de encuentros</t>
  </si>
  <si>
    <t>Fortalecimiento del Festival de Música del Pacífico Petronio Álvarez de Santiago de  Cali</t>
  </si>
  <si>
    <t>BP26004281</t>
  </si>
  <si>
    <t>BP2600428110101</t>
  </si>
  <si>
    <t>Realizar 1 evento de promoción de actividades culturales de talla internacional</t>
  </si>
  <si>
    <t>Se dio apertura a las inscripciones del componente de la muestra de expresiones tradicionales y a la convocatoria de semilleros de música tradicional “Petronito”, y se han socializado los términos de referencia de las convocatorias a los grupos de valor interesados en postularse. También se ha revisado el cronograma proyectado para los zonales, la propuesta de homenajeados, el proceso de socialización y la conformación de los subcomités de los componentes Académico, muestras y música.</t>
  </si>
  <si>
    <t>Fortalecimiento de festivales de talla internacional realizados anualmente en Santiago de  Cali</t>
  </si>
  <si>
    <t>BP26004731</t>
  </si>
  <si>
    <t>BP2600473120101</t>
  </si>
  <si>
    <t>Realizar 4 documentos de lineamientos técnicos, relacionados  con los eventos de promoción cultural realizados</t>
  </si>
  <si>
    <t>BP2600473120201</t>
  </si>
  <si>
    <t>Artistas circulando a nivel internacional</t>
  </si>
  <si>
    <t>Apoyo a la internacionalización de las manifestaciones artísticas de Santiago de  Cali</t>
  </si>
  <si>
    <t>BP26002818</t>
  </si>
  <si>
    <t>BP2600281810101</t>
  </si>
  <si>
    <t>Poner en circulación internacional  los contenidos artísticos y culturales, de 25 artistas locales</t>
  </si>
  <si>
    <t>Contenidos culturales  en circulación</t>
  </si>
  <si>
    <t>BP2600281810201</t>
  </si>
  <si>
    <t xml:space="preserve">Realizar  eventos  de  promoción de 15 actividades artísticas  y culturales </t>
  </si>
  <si>
    <t xml:space="preserve"> Atención Integral a las Víctimas del Conflicto</t>
  </si>
  <si>
    <t>Personas víctimas del conflicto armado, vinculadas a procesos artísticos y culturales</t>
  </si>
  <si>
    <t>Reconstrucción de la memoria cultural y artística de las organizaciones y comunidades víctimas del conflicto en Santiago de   Cali</t>
  </si>
  <si>
    <t>BP26002852</t>
  </si>
  <si>
    <t>BP2600285210101</t>
  </si>
  <si>
    <t>Realizar 2 eventos  para la promoción de la cultura de las victimas del conflicto armado</t>
  </si>
  <si>
    <t>BP2600285210201</t>
  </si>
  <si>
    <t>Asistir técnicamente  a 145 personas victimas del conflicto armado, para la reconstrucción de  su cultura</t>
  </si>
  <si>
    <t>Personas asistidas técnicamente</t>
  </si>
  <si>
    <t>Niños, niñas, mujeres gestantes y madres lactantes beneficiados con experiencias artísticas y culturales</t>
  </si>
  <si>
    <t>Ampliación de las expresiones artísticas en la primera infancia, mujeres gestantes y madres lactantes de  Cali</t>
  </si>
  <si>
    <t>BP26002885</t>
  </si>
  <si>
    <t>BP2600288510101</t>
  </si>
  <si>
    <t>Beneficiar a 128  personas, entre  Niños, niñas, mujeres gestantes y madres lactantes,  con experiencias artísticas y culturales</t>
  </si>
  <si>
    <t>Personas beneficiadas</t>
  </si>
  <si>
    <t>BP2600288510201</t>
  </si>
  <si>
    <t>Realizar 5 encuentros para promover   el arte y la cultura en la atención de la primera infancia</t>
  </si>
  <si>
    <t>Encuentros realizados</t>
  </si>
  <si>
    <t>Niñas y niños, mujeres gestantes y madres lactantes beneficiadas en procesos de lectura, escritura y oralidad</t>
  </si>
  <si>
    <t>Fortalecimiento de estrategias y acciones de lectura, escritura y oralidad en niños, niñas, mujeres gestantes y madres lactantes de  Cali</t>
  </si>
  <si>
    <t>BP26002836</t>
  </si>
  <si>
    <t>BP2600283610101</t>
  </si>
  <si>
    <t>Atender a 2.566 personas entre Niñas, niños, mujeres gestantes y madres lactantes,  en procesos de lectura, escritura y oralidad</t>
  </si>
  <si>
    <t>Usuarios atendidos</t>
  </si>
  <si>
    <t>BP2600283610201</t>
  </si>
  <si>
    <t>Capacitar a 500 personas entre agentes educativos, bibliotecarios, cuidadores, mujeres gestantes y madres lactantes, en experiencias de lectura, escritura y oralidad para la primera infancia</t>
  </si>
  <si>
    <t xml:space="preserve"> Conectados con la Ciudadanía Juvenil</t>
  </si>
  <si>
    <t>Organizaciones juveniles culturales y artísticas fortalecidas con programas de creación artística y promoción del patrimonio cultural</t>
  </si>
  <si>
    <t>Fortalecimiento de las organizaciones juveniles culturales y artísticas de  Cali</t>
  </si>
  <si>
    <t>BP26002881</t>
  </si>
  <si>
    <t>BP2600288110101</t>
  </si>
  <si>
    <t>Realizar con participación de  organizaciones  juveniles artísticas y culturales, un  documento que establezca parámetros  para apoyar las  iniciativas de las  mismas  organizaciones</t>
  </si>
  <si>
    <t>Documentos Normativos realizados</t>
  </si>
  <si>
    <t>BP2600288110201</t>
  </si>
  <si>
    <t>Apoyar  el desarrollo de iniciativas culturales y artísticas  de  una organización  juvenil, con la entrega de estímulos</t>
  </si>
  <si>
    <t>Estímulos Otorgados</t>
  </si>
  <si>
    <t>Fortalecimiento a organizaciones juveniles de cultura y arte en programas de creación artística y promoción del patrimonio cultural en Santiago de Cali</t>
  </si>
  <si>
    <t>BP26002895</t>
  </si>
  <si>
    <t>BP2600289510101</t>
  </si>
  <si>
    <t xml:space="preserve">Apoyar el fortalecimiento de  5 organizaciones   juveniles culturales y artísticas, con la realización de  capacitaciones  sobre temas  patrimoniales </t>
  </si>
  <si>
    <t>Capacitaciones realizadas</t>
  </si>
  <si>
    <t>BP2600289510201</t>
  </si>
  <si>
    <t>Realizar 1 publicación sobre  los  procesos  vividos  por  5 organizaciones  juveniles,  que trabajen por  la recuperación del  patrimonio  cultural</t>
  </si>
  <si>
    <t>Publicaciones realizadas</t>
  </si>
  <si>
    <t>Espacios de intercambio intergeneracional promovidos para aprovechar la experiencia y vivencia de las personas mayores</t>
  </si>
  <si>
    <t>Fortalecimiento de la oferta cultural y artística para el adulto mayor en Santiago de   Cali</t>
  </si>
  <si>
    <t>BP26002743</t>
  </si>
  <si>
    <t>BP2600274310101</t>
  </si>
  <si>
    <t>Realizar 1 evento de promoción de las actividades culturales de las   por personas mayores</t>
  </si>
  <si>
    <t>BP2600274310201</t>
  </si>
  <si>
    <t>Poner en circulación 8 contenidos artísticos y culturales de personas mayores</t>
  </si>
  <si>
    <t>Contenidos culturales en circulación</t>
  </si>
  <si>
    <t xml:space="preserve"> Desarrollando Capacidades, Promoviendo Oportunidades a Población en Situación de Discapacidad</t>
  </si>
  <si>
    <t>Personas con discapacidad beneficiadas con actividades artísticas y culturales</t>
  </si>
  <si>
    <t>Desarrollo de procesos culturales para el acceso a la información y el conocimiento para la población con discapacidad de  Cali</t>
  </si>
  <si>
    <t>BP26002835</t>
  </si>
  <si>
    <t>BP2600283510101</t>
  </si>
  <si>
    <t>Atender a 1.105 personas  con discapacidad, con servicios bibliotecarios</t>
  </si>
  <si>
    <t>BP2600283510201</t>
  </si>
  <si>
    <t xml:space="preserve">Beneficiar a 1.100 personas con discapacidad, con actividades  artísticas   y culturales </t>
  </si>
  <si>
    <t>Personas  beneficiadas</t>
  </si>
  <si>
    <t>BP2600283510301</t>
  </si>
  <si>
    <t xml:space="preserve">Realizar 8 procesos de formación artística y cultural dirigidos a población con discapacidad
</t>
  </si>
  <si>
    <t>Procesos de formación atendidos</t>
  </si>
  <si>
    <t>Expresiones tradicionales de la población afrodescendiente promovidas</t>
  </si>
  <si>
    <t>Difusión de expresiones tradicionales afro para Santiago de  Cali</t>
  </si>
  <si>
    <t>BP26002744</t>
  </si>
  <si>
    <t>BP2600274410101</t>
  </si>
  <si>
    <t>BP2600274410201</t>
  </si>
  <si>
    <t xml:space="preserve">Realizar eventos de promoción de 2 expresiones tradicionales de la población afrodescendientes  
</t>
  </si>
  <si>
    <t>Organizaciones, grupos e instituciones culturales que promueven valores identitarios afrodescendientes apoyadas</t>
  </si>
  <si>
    <t>Apoyo a la promoción de valores identitarios afrodescendientes en Santiago de  Cali</t>
  </si>
  <si>
    <t>BP26003678</t>
  </si>
  <si>
    <t>BP2600367810101</t>
  </si>
  <si>
    <t>BP2600367810201</t>
  </si>
  <si>
    <t>Realizar 1 publicación que visibilice valores identitarios afrodescendientes</t>
  </si>
  <si>
    <t xml:space="preserve"> Tejiendo Identidad, para el Buen Vivir de la Población y Comunidades Indígenas</t>
  </si>
  <si>
    <t>Pueblos indígenas organizados, apoyados en la recuperación de sus prácticas culturales ancestrales</t>
  </si>
  <si>
    <t>Desarrollo de acciones de salvaguarda para la conservación, visibilización de las expresiones culturales  y practicas ancestrales de pueblos indígenas organizados en Santiago de Cali</t>
  </si>
  <si>
    <t>BP26002685</t>
  </si>
  <si>
    <t>BP2600268510101</t>
  </si>
  <si>
    <t>Realizar 1 proceso  orientado al autorreconocimiento  y protección  de manifestaciones ancestrales de  7 pueblos  indígenas, presentes en Cali</t>
  </si>
  <si>
    <t>Procesos de salvaguardia efectiva del patrimonio inmaterial realizados</t>
  </si>
  <si>
    <t xml:space="preserve"> Espacio Público para la Integración SocioEcológica</t>
  </si>
  <si>
    <t>Espacios públicos promovidos con programación cultural</t>
  </si>
  <si>
    <t>Recuperación de espacios artísticos y culturales en la comuna 12 de Santiago de Cali</t>
  </si>
  <si>
    <t>BP26003214</t>
  </si>
  <si>
    <t>BP2600321410101</t>
  </si>
  <si>
    <t xml:space="preserve">Promover 12 espacios  públicos de  la comuna, con la realización de 12 eventos  artísticos  y culturales </t>
  </si>
  <si>
    <t>Aprovechamiento de los espacios públicos con programación cultural y artística en el Corregimiento Felidia de Cali</t>
  </si>
  <si>
    <t>BP26003241</t>
  </si>
  <si>
    <t>BP2600324110101</t>
  </si>
  <si>
    <t>Promover 1 espacio público de la comuna, con la realización  de 1 evento cultural</t>
  </si>
  <si>
    <t>Fortalecimiento de la oferta artística y cultural en los espacios públicos de Santiago de Cali</t>
  </si>
  <si>
    <t>BP26004550</t>
  </si>
  <si>
    <t>BP2600455010101</t>
  </si>
  <si>
    <t>BP2600455010201</t>
  </si>
  <si>
    <t>Realizar eventos  para la  promoción 25 actividades culturales a  cumplir en los diferentes  espacios  públicos.</t>
  </si>
  <si>
    <t>Aprovechamiento de los espacios públicos con programación artística y cultural en la comuna 21 en Santiago de Cali</t>
  </si>
  <si>
    <t>BP26004903</t>
  </si>
  <si>
    <t>BP2600490310101</t>
  </si>
  <si>
    <t>Promover 4 espacios públicos de la comuna, con la realización  de 4 eventos culturales</t>
  </si>
  <si>
    <t>Aprovechamiento de los espacios públicos con programación cultural y artística en la comuna 14 de Santiago de Cali</t>
  </si>
  <si>
    <t>BP26004925</t>
  </si>
  <si>
    <t>BP2600492510101</t>
  </si>
  <si>
    <t>Equipamientos culturales del Distrito diseñados, con mantenimiento, construidos, adecuados, mejorados o dotación</t>
  </si>
  <si>
    <t>Mejoramiento de los equipamientos culturales de  Cali</t>
  </si>
  <si>
    <t>BP26002893</t>
  </si>
  <si>
    <t>BP2600289310101</t>
  </si>
  <si>
    <t>Intervenir con acciones de mantenimiento a 49 equipamientos culturales</t>
  </si>
  <si>
    <t>Infraestructura cultural intervenida</t>
  </si>
  <si>
    <t>BP2600289310201</t>
  </si>
  <si>
    <t>Realizar la adecuación de 3 equipamientos culturales</t>
  </si>
  <si>
    <t>Bibliotecas adecuadas</t>
  </si>
  <si>
    <t>BP2600289310301</t>
  </si>
  <si>
    <t>Elaborar el estudio y diseño de un equipamiento cultural</t>
  </si>
  <si>
    <t>Estudios y diseños elaborados</t>
  </si>
  <si>
    <t>Mejoramiento de los espacios y ambientes de las bibliotecas públicas de la Red en Santiago de  Cali</t>
  </si>
  <si>
    <t>BP26003676</t>
  </si>
  <si>
    <t>BP2600367610101</t>
  </si>
  <si>
    <t>Realizar la dotación de 30  bibliotecas  públicas adscritas a la  Red  de  Bibliotecas de Cali</t>
  </si>
  <si>
    <t>Infraestructuras culturales dotadas</t>
  </si>
  <si>
    <t>Mejoramiento de las bibliotecas de la red pública distrital en la comuna 3 de Santiago de Cali</t>
  </si>
  <si>
    <t>BP26004075</t>
  </si>
  <si>
    <t>BP2600407510101</t>
  </si>
  <si>
    <t xml:space="preserve">Realizar la adecuación de 1 Biblioteca Publica de la comuna 3
</t>
  </si>
  <si>
    <t>Distrito Educador</t>
  </si>
  <si>
    <t>Construyendo un Distrito Lector</t>
  </si>
  <si>
    <t>Instituciones y organizaciones con promoción de lectura, escritura y oralidad</t>
  </si>
  <si>
    <t>Fortalecimiento  institucional, organizativo y ciudadano para la promoción de lectura, escritura y oralidad en  Cali</t>
  </si>
  <si>
    <t>BP26002815</t>
  </si>
  <si>
    <t>BP2600281510101</t>
  </si>
  <si>
    <t>Atender a 3.200 personas, en el marco de procesos de  promoción de lectura, escritura y oralidad,  realizados  en coordinación  con  instituciones  y organizaciones  públicas  y privadas</t>
  </si>
  <si>
    <t>BP2600281510201</t>
  </si>
  <si>
    <t>Brindar asistencia  técnica  en promoción de lectura, escritura y oralidad, a  87  organizaciones o instituciones  de carácter público  o privado</t>
  </si>
  <si>
    <t>Asistencias técnicas realizadas</t>
  </si>
  <si>
    <t>Bibliotecas públicas y espacios adscritos a la Red, operando con servicios bibliotecarios</t>
  </si>
  <si>
    <t>Formación e los servicios bibliotecarios en bibliotecas públicas y espacios adscritos a la red en Santiago de  Cali</t>
  </si>
  <si>
    <t>BP26002890</t>
  </si>
  <si>
    <t>BP2600289010101</t>
  </si>
  <si>
    <t xml:space="preserve">Brindar los  servicios bibliotecarios en 64 espacios, entre  bibliotecas públicas y espacios adscritos a la Red, logrando atender un mínimo de 57 personas </t>
  </si>
  <si>
    <t>BP2600289010201</t>
  </si>
  <si>
    <t>Disponer  6.000 nuevos materiales de  lectura  en las  bibliotecas  públicas,  y en los espacios  no convencionales, adscritos a la red</t>
  </si>
  <si>
    <t>Materiales de lectura disponibles en bibliotecas públicas y espacios no convencionales</t>
  </si>
  <si>
    <t xml:space="preserve"> Cali Corazón de las Culturas</t>
  </si>
  <si>
    <t>Manifestaciones del patrimonio cultural inmaterial identificadas, visibilizadas y salvaguardadas</t>
  </si>
  <si>
    <t>Fortalecimiento de las acciones de salvaguardia de las manifestaciones del patrimonio cultural inmaterial de Santiago de  Cali</t>
  </si>
  <si>
    <t>BP26003704</t>
  </si>
  <si>
    <t>BP2600370410101</t>
  </si>
  <si>
    <t>Apoyar  los  procesos de salvaguarda  de 2 manifestaciones del patrimonio cultural inmaterial,  de Santiago de  Cali</t>
  </si>
  <si>
    <t>Procesos de salvaguarda efectivas del patrimonio cultural inmaterial realizados</t>
  </si>
  <si>
    <t>BP2600370410301</t>
  </si>
  <si>
    <t>Realizar 3 publicaciones orientada a  divulgar  el patrimonio  cultural inmaterial de Santiago de  Cali</t>
  </si>
  <si>
    <t>Publicaciones  realizadas</t>
  </si>
  <si>
    <t>Bienes materiales de Interés cultural protegidos y conservados</t>
  </si>
  <si>
    <t>Conservación patrimonial del Centro Cultural de  Cali</t>
  </si>
  <si>
    <t>BP26002811</t>
  </si>
  <si>
    <t>BP2600281110101</t>
  </si>
  <si>
    <t xml:space="preserve">Intervenir el Centro Cultural con acciones de mantenimiento </t>
  </si>
  <si>
    <t>BP2600281110102</t>
  </si>
  <si>
    <t>Asistir técnicamente 1 proyecto de infraestructura cultural</t>
  </si>
  <si>
    <t xml:space="preserve"> Infraestructura cultural  asistidos técnicamente</t>
  </si>
  <si>
    <t>Divulgación de valores culturales en sectores urbanos declarados como bienes de interés cultural de  Cali</t>
  </si>
  <si>
    <t>BP26002825</t>
  </si>
  <si>
    <t>BP2600282510101</t>
  </si>
  <si>
    <t xml:space="preserve">Realizar 4 acciones de divulgación  y documentación  del valor patrimonial de los BIC  barrio  San Antonio  y del Centro histórico de  Cali ( 2 Bienes de interes Cultural)
</t>
  </si>
  <si>
    <t>Servicio de divulgación y publicación del Patrimonio cultural</t>
  </si>
  <si>
    <t>BP2600282510201</t>
  </si>
  <si>
    <t>Realizar 4 acciones de divulgación  y publicación sobre Bienes de Interes Cultural</t>
  </si>
  <si>
    <t>Protección de la infraestructura patrimonial de  Cali</t>
  </si>
  <si>
    <t>BP26002865</t>
  </si>
  <si>
    <t>BP2600286510101</t>
  </si>
  <si>
    <t xml:space="preserve">Realizar acciones de  mantenimiento y  adecuación de 2 bienes inmuebles de interés  cultural </t>
  </si>
  <si>
    <t>Restauraciones realizadas</t>
  </si>
  <si>
    <t>Conservación de la infraestructura patrimonial de Santiago de Cali</t>
  </si>
  <si>
    <t>BP26003841</t>
  </si>
  <si>
    <t>BP2600384110101</t>
  </si>
  <si>
    <t>Intervenir con acciones de mantenimiento una infraestructura Cultural</t>
  </si>
  <si>
    <t>Comunas y corregimientos con procesos identitarios promovidos y apoyados</t>
  </si>
  <si>
    <t>Implementación del proceso de integración intercomunitaria  para el apoyo de los procesos identitarios  en Santiago de  Cali</t>
  </si>
  <si>
    <t>BP26002857</t>
  </si>
  <si>
    <t>BP2600285710101</t>
  </si>
  <si>
    <t>Apoyar  el desarrollo de 1 proceso identitario  identificado  en comunas y corregimientos  de Santiago de  Cali</t>
  </si>
  <si>
    <t>Proceso de salvaguarda efectivas del patrimonio cultural inmaterial realizados</t>
  </si>
  <si>
    <t>BP2600285710201</t>
  </si>
  <si>
    <t>Realizar una capacitación sobre la construcción de herramientas de salvaguarda</t>
  </si>
  <si>
    <t xml:space="preserve">capacitaciones realizadas </t>
  </si>
  <si>
    <t>Recuperación de la memoria cultural y artística del corregimiento de Pance de Santiago de Cali</t>
  </si>
  <si>
    <t>BP26003749</t>
  </si>
  <si>
    <t>BP2600374910101</t>
  </si>
  <si>
    <t>Realizar 2 eventos de apoyo  a  procesos  que promueven valores identitarios en comunas y corregimientos</t>
  </si>
  <si>
    <t>Eventos de promoción de actividades culturales realizados.</t>
  </si>
  <si>
    <t>Recuperación de la memoria cultural y artística en el corregimiento de Navarro de Santiago de Cali</t>
  </si>
  <si>
    <t>BP26003800</t>
  </si>
  <si>
    <t>BP2600380010101</t>
  </si>
  <si>
    <t>Realizar 1 evento de apoyo  a  procesos  que promueven valores identitarios en comunas y corregimientos</t>
  </si>
  <si>
    <t>Plan para la recuperación de la memoria cultural, Implementado</t>
  </si>
  <si>
    <t>Implementación por zonas de ciudad del plan para la recuperación de la memoria cultural  de  Cali</t>
  </si>
  <si>
    <t>BP26002877</t>
  </si>
  <si>
    <t>BP2600287710101</t>
  </si>
  <si>
    <t>Plan para la recuperación de la memoria</t>
  </si>
  <si>
    <t>Realizar 4 procesos de  recuperación de la  memoria, en el marco del Plan para la  recuperación de la memoria  cultural</t>
  </si>
  <si>
    <t xml:space="preserve">Procesos de salvaguardia efectiva del patrimonio inmaterial realizados </t>
  </si>
  <si>
    <t>BP2600287710201</t>
  </si>
  <si>
    <t>BP2600287710301</t>
  </si>
  <si>
    <t>Realizar 1 documento con los aportes presentados  en el encuentro de socialización de estrategias de recuperación de la  memoria cultural</t>
  </si>
  <si>
    <t>Fuentes y monumentos localizados en espacios públicos con mantenimiento</t>
  </si>
  <si>
    <t>Protección fuentes ornamentales y monumentos con mantenimiento localizados en espacios públicos de  cala</t>
  </si>
  <si>
    <t>BP26002861</t>
  </si>
  <si>
    <t>BP2600286110101</t>
  </si>
  <si>
    <t>Realizar el  mantenimiento y/o restauración  de 72 fuentes ornamentales  y monumentos, ubicados en espacio público</t>
  </si>
  <si>
    <t>Actualización y difusión del inventario de bienes muebles de interés cultural</t>
  </si>
  <si>
    <t>Inventario de bienes muebles de interés cultural de  Cali</t>
  </si>
  <si>
    <t>BP26002827</t>
  </si>
  <si>
    <t>BP2600282710101</t>
  </si>
  <si>
    <t>Realizar fichas de caracterización y documentación  de los  bienes  muebles  inventariados</t>
  </si>
  <si>
    <t>Bienes muebles documentales patrimoniales y de interés cultural, protegidos, conservados y divulgados</t>
  </si>
  <si>
    <t>Apoyo a la protección y divulgación de los acervos documentales y bibliográficos de la biblioteca patrimonial del Centenario de  Cali</t>
  </si>
  <si>
    <t>BP26002809</t>
  </si>
  <si>
    <t>BP2600280910101</t>
  </si>
  <si>
    <t xml:space="preserve">Realizar 1 evento de promoción de actividades culturales
</t>
  </si>
  <si>
    <t>Eventos de promoción de activades culturales realizados</t>
  </si>
  <si>
    <t>BP2600280910201</t>
  </si>
  <si>
    <t>Atender a 150 personas  con servicios bibliotecarios</t>
  </si>
  <si>
    <t>BP2600280910301</t>
  </si>
  <si>
    <t>Conservación Organización y difusión del patrimonio documental, audiovisual,  sonoro y archivístico de Santiago de  Cali</t>
  </si>
  <si>
    <t>BP26003680</t>
  </si>
  <si>
    <t>BP2600368010101</t>
  </si>
  <si>
    <t>Preservar  los  acervos documentales del Archivo Histórico de  Cali</t>
  </si>
  <si>
    <t>Bienes bibliográficos y documentales preservados</t>
  </si>
  <si>
    <t>BP2600368010102</t>
  </si>
  <si>
    <t xml:space="preserve">Preservar  los acervos audiovisuales y cinematográficos  de la sala audiovisual </t>
  </si>
  <si>
    <t>Colecciones cinematográficas y audiovisuales preservadas</t>
  </si>
  <si>
    <t>BP2600368010201</t>
  </si>
  <si>
    <t>Facilitar  el acceso   de 1.200 personas  a los acervos del Archivo  Histórico</t>
  </si>
  <si>
    <t>Consultas realizadas en sala</t>
  </si>
  <si>
    <t>BP2600368010202</t>
  </si>
  <si>
    <t>Realizar  2  publicaciones  de divulgación de los  acervos  documentales del archivo histórico y de la sala  audiovisual</t>
  </si>
  <si>
    <t>Publicaciones realizadas.</t>
  </si>
  <si>
    <t>Ecosistema Artístico</t>
  </si>
  <si>
    <t>Personas formadas en prácticas artísticas en comunas y corregimientos</t>
  </si>
  <si>
    <t>Formación en prácticas artísticas y culturales a habitantes del corregimiento el Hormiguero de Cali</t>
  </si>
  <si>
    <t>BP26003219</t>
  </si>
  <si>
    <t>BP2600321910101</t>
  </si>
  <si>
    <t>Capacitar a 114 personas  del corregimiento en prácticas artísticas y culturales</t>
  </si>
  <si>
    <t>Número de personas</t>
  </si>
  <si>
    <t>Formación en prácticas artísticas y culturales a habitantes del corregimiento la Elvira de Cali</t>
  </si>
  <si>
    <t>BP26003220</t>
  </si>
  <si>
    <t>BP2600322010101</t>
  </si>
  <si>
    <t>Capacitar a 50 personas  del corregimiento en prácticas artísticas y culturales</t>
  </si>
  <si>
    <t>Formación en prácticas y expresiones artísticas y culturales de Santiago de Cali</t>
  </si>
  <si>
    <t>BP26003395</t>
  </si>
  <si>
    <t>BP2600339510101</t>
  </si>
  <si>
    <t>BP2600339510201</t>
  </si>
  <si>
    <t xml:space="preserve">Realizar  5 eventos de promoción de actividades artísticas  y culturales </t>
  </si>
  <si>
    <t xml:space="preserve"> Eventos de promoción de actividades culturales realizados </t>
  </si>
  <si>
    <t>Mejoramiento de la formación artística y cultural para los habitantes del corregimiento Montebello de Santiago de Cali</t>
  </si>
  <si>
    <t>BP26003768</t>
  </si>
  <si>
    <t>BP2600376810101</t>
  </si>
  <si>
    <t>Capacitar a 120 personas  del corregimiento en prácticas artísticas y culturales</t>
  </si>
  <si>
    <t>Formación en  practicas artísticas  a  habitantes de la comuna 16 de Santiago de  Cali</t>
  </si>
  <si>
    <t>BP26003799</t>
  </si>
  <si>
    <t>BP2600379910101</t>
  </si>
  <si>
    <t>Capacitar a 800 personas  de la comuna  en prácticas artísticas y culturales</t>
  </si>
  <si>
    <t>Formación artística para los habitantes del Corregimiento La Paz de Santiago de Cali</t>
  </si>
  <si>
    <t>BP26003916</t>
  </si>
  <si>
    <t>BP2600391620101</t>
  </si>
  <si>
    <t>Capacitar a 70 personas  del corregimiento en prácticas artísticas y culturales</t>
  </si>
  <si>
    <t>Mejoramiento de los procesos de formación cultural y artísticos de la comuna 7 de Santiago de Cali</t>
  </si>
  <si>
    <t>BP26003925</t>
  </si>
  <si>
    <t>BP2600392510101</t>
  </si>
  <si>
    <t>Capacitar a 200 personas  de la comuna  en prácticas artísticas y culturales</t>
  </si>
  <si>
    <t>Formación en prácticas artísticas y culturales a los habitantes de la comuna 9 de Santiago de Cali</t>
  </si>
  <si>
    <t>BP26004902</t>
  </si>
  <si>
    <t>BP2600490210101</t>
  </si>
  <si>
    <t>Capacitar a 488 personas  de la comuna  en prácticas artísticas y culturales</t>
  </si>
  <si>
    <t>Fortalecimiento en prácticas artísticas y culturales a habitantes de la Comuna 21 de Santiago de Cali</t>
  </si>
  <si>
    <t>BP26004904</t>
  </si>
  <si>
    <t>BP2600490410101</t>
  </si>
  <si>
    <t>Capacitar a 300 personas  de la comuna  en prácticas artísticas y culturales</t>
  </si>
  <si>
    <t>Fortalecimiento de las practicas artísticas y culturales para los habitantes del corregimiento Golondrinas de Santiago de Cali</t>
  </si>
  <si>
    <t>BP26004905</t>
  </si>
  <si>
    <t>BP2600490510101</t>
  </si>
  <si>
    <t>Capacitar a 100 personas  de la comuna  en prácticas artísticas y culturales</t>
  </si>
  <si>
    <t>Formación cultural y artística para los habitantes de la comuna 17 en Santiago de Cali</t>
  </si>
  <si>
    <t>BP26004912</t>
  </si>
  <si>
    <t>BP2600491210101</t>
  </si>
  <si>
    <t>Capacitar a 400 personas  de la comuna  en prácticas artísticas y culturales</t>
  </si>
  <si>
    <t>Fortalecimiento en prácticas artísticas y culturales a los habitantes del Corregimiento La Leonera de Santiago de Cali</t>
  </si>
  <si>
    <t>BP26004924</t>
  </si>
  <si>
    <t>BP2600492410101</t>
  </si>
  <si>
    <t>Capacitar a 150 personas  de la comuna  en prácticas artísticas y culturales</t>
  </si>
  <si>
    <t>Formación en practicas artísticas y culturales a habitantes de la comuna 5 de Santiago de  Cali</t>
  </si>
  <si>
    <t>BP26004934</t>
  </si>
  <si>
    <t>BP2600493410101</t>
  </si>
  <si>
    <t>Capacitar a 140 personas  de la comuna  en prácticas artísticas y culturales</t>
  </si>
  <si>
    <t>Formación artística a habitantes de la comuna 3 de Santiago de Cali</t>
  </si>
  <si>
    <t>BP26004956</t>
  </si>
  <si>
    <t>BP2600495610101</t>
  </si>
  <si>
    <t>Capacitar a 230 personas  de la comuna  en prácticas artísticas y culturales</t>
  </si>
  <si>
    <t>Formación artísticas y cultural a habitantes de la comuna 13 en Santiago de  Cali</t>
  </si>
  <si>
    <t>BP26004965</t>
  </si>
  <si>
    <t>BP2600496510101</t>
  </si>
  <si>
    <t>Capacitar a 390 personas  de la comuna  en prácticas artísticas y culturales</t>
  </si>
  <si>
    <t>Formación artística a habitantes de la comuna 4 de Santiago de Cali</t>
  </si>
  <si>
    <t>BP26004973</t>
  </si>
  <si>
    <t>BP2600497310101</t>
  </si>
  <si>
    <t>Capacitar a 758 personas  de la comuna  en prácticas artísticas y culturales</t>
  </si>
  <si>
    <t>Formación artística a habitantes de la comuna 18 de Santiago de Cali</t>
  </si>
  <si>
    <t>BP26004975</t>
  </si>
  <si>
    <t>BP2600497510101</t>
  </si>
  <si>
    <t>Capacitar a 420 personas  de la comuna  en prácticas artísticas y culturales</t>
  </si>
  <si>
    <t>Organizaciones e instituciones apoyadas en el desarrollo de sus iniciativas artísticas y culturales</t>
  </si>
  <si>
    <t>Fortalecimiento de las salas independientes de teatro de Santiago de  Cali</t>
  </si>
  <si>
    <t>BP26002745</t>
  </si>
  <si>
    <t>BP2600274510101</t>
  </si>
  <si>
    <t>Realizar 1 documentos de lineamientos técnicos</t>
  </si>
  <si>
    <t>BP2600274510201</t>
  </si>
  <si>
    <t>Apoyar la circulación  de las producciones  de  13 organizaciones  teatrales</t>
  </si>
  <si>
    <t>Apoyo a organizaciones artísticas y culturales de la comuna 15 de Santiago de   Cali</t>
  </si>
  <si>
    <t>BP26003787</t>
  </si>
  <si>
    <t>BP2600378710101</t>
  </si>
  <si>
    <t>Apoyar la realización  de encuentros culturales  propuestos por 7  organizaciones  artísticas  y culturales  de la comuna</t>
  </si>
  <si>
    <t>Fortalecimiento a organizaciones artísticas y culturales de la comuna 6 de Santiago de Cali</t>
  </si>
  <si>
    <t>BP26003909</t>
  </si>
  <si>
    <t>BP2600390910101</t>
  </si>
  <si>
    <t>Apoyar  12  organizaciones  con el desarrollo de procesos de formación</t>
  </si>
  <si>
    <t>Fortalecimiento de los procesos artísticos y culturales que gestionan las organizaciones de Santiago de Cali</t>
  </si>
  <si>
    <t>BP26004709</t>
  </si>
  <si>
    <t>BP2600470910101</t>
  </si>
  <si>
    <t>Realizar 1 documento de planeación</t>
  </si>
  <si>
    <t>BP2600470910201</t>
  </si>
  <si>
    <t>Fortalecimiento a organizaciones artísticas y culturales en la Comuna 5 de Santiago de  Cali</t>
  </si>
  <si>
    <t>BP26004930</t>
  </si>
  <si>
    <t>BP2600493010101</t>
  </si>
  <si>
    <t>Apoyar  7 organizaciones  con el desarrollo de procesos de formación</t>
  </si>
  <si>
    <t>Espacios de participación y creación artística con enfoque diferencial y de genero apoyados</t>
  </si>
  <si>
    <t>Fortalecimiento de la promoción y el acceso de los derechos culturales y de las expresiones artísticas en poblaciones vulnerables de Santiago de  Cali</t>
  </si>
  <si>
    <t>BP26002858</t>
  </si>
  <si>
    <t>BP2600285810101</t>
  </si>
  <si>
    <t>Diseñar y documentar  estrategias de  promoción de los derechos  culturales  en población  vulnerable</t>
  </si>
  <si>
    <t>BP2600285810201</t>
  </si>
  <si>
    <t>Realizar 1 evento orientado a promover  la cultura en el espacio generado para la participación de población vulnerable</t>
  </si>
  <si>
    <t xml:space="preserve">Eventos de promoción de actividades culturales realizados </t>
  </si>
  <si>
    <t>Desarrollo de procesos artísticos y culturales con personas en diversidad sexual  y de genero LGTBI en   Cali</t>
  </si>
  <si>
    <t>BP26002880</t>
  </si>
  <si>
    <t>BP2600288010101</t>
  </si>
  <si>
    <t>Realizar 1 evento de promoción de actividades culturales con población LGTBIQ+</t>
  </si>
  <si>
    <t>BP2600288010201</t>
  </si>
  <si>
    <t xml:space="preserve">Poner en circulación 1 contenido cultural en el espacio generado para la participación de agrupaciones  o  personas  del  sector de población LGTBIQ+ </t>
  </si>
  <si>
    <t>Implementación de procesos artísticos para una ciudad segura para las mujeres y las niñas  de Santiago de  Cali</t>
  </si>
  <si>
    <t>BP26002883</t>
  </si>
  <si>
    <t>BP2600288310101</t>
  </si>
  <si>
    <t>Realizar 1 encuentro en el espacio de participación generado para promover los  derechos  de las  mujeres  y la  equidad de  genero.</t>
  </si>
  <si>
    <t>Encuentros Realizados</t>
  </si>
  <si>
    <t>BP2600288310201</t>
  </si>
  <si>
    <t>Actores del sector cultural beneficiados con estímulos</t>
  </si>
  <si>
    <t>Apoyo con estímulos a los agentes culturales, artísticos y patrimoniales de Santiago de  Cali</t>
  </si>
  <si>
    <t>BP26004722</t>
  </si>
  <si>
    <t>BP2600472210101</t>
  </si>
  <si>
    <t>Asistir técnicamente a 610 personas en gestión de proyectos culturales</t>
  </si>
  <si>
    <t>BP2600472210201</t>
  </si>
  <si>
    <t>Otorgar 157 estímulos, para el desarrollo de  proyectos culturales, artísticos y patrimoniales en el marco de la convocatoria de estímulos de la  SC</t>
  </si>
  <si>
    <t>Semilleros de investigación artística y cultural implementados</t>
  </si>
  <si>
    <t>Fortalecimiento de la investigación artística y  cultural de Santiago de  Cali</t>
  </si>
  <si>
    <t>BP26002819</t>
  </si>
  <si>
    <t>BP2600281910101</t>
  </si>
  <si>
    <t>Promover el desarrollo de  1 semilleros de investigación sobre temas artísticos  y culturales</t>
  </si>
  <si>
    <t>BP2600281910201</t>
  </si>
  <si>
    <t>Divulgar el  resultado del trabajo del semillero de  investigación  a través de  1 publicaciones</t>
  </si>
  <si>
    <t>Publicaciones Realizadas</t>
  </si>
  <si>
    <t>BP26004721</t>
  </si>
  <si>
    <t>BP2600472110101</t>
  </si>
  <si>
    <t>Promover el desarrollo de  4 semilleros de investigación sobre temas artísticos  y culturales</t>
  </si>
  <si>
    <t>BP2600472110201</t>
  </si>
  <si>
    <t xml:space="preserve">Realizar un evento para promover el resultado del trabajo del semillero de  investigación  </t>
  </si>
  <si>
    <t>Creadores y gestores culturales beneficiados con seguridad social en el marco de la ley 666 de 2001 y decretos reglamentarios</t>
  </si>
  <si>
    <t>Aportes para la vinculación al programa de beneficios económicos periódicos -BEPS- para los creadores y gestores culturales de Santiago de Cali</t>
  </si>
  <si>
    <t>BP26004733</t>
  </si>
  <si>
    <t>Secretaria de Cultura - Unidad de Apoyo a la Gestión</t>
  </si>
  <si>
    <t>BP2600473310101</t>
  </si>
  <si>
    <t>Creadores y gestores culturales beneficiados</t>
  </si>
  <si>
    <t>BP2600473310201</t>
  </si>
  <si>
    <t>Beneficiar 400 personas (entre  artistas y gestores  culturales), con  el programa de seguridad  social complementarios - BEPS-  Modalidad de Motivación al ahorro</t>
  </si>
  <si>
    <t>Actores de la salsa fortalecidos en gestión cultural y procesos dancísticos</t>
  </si>
  <si>
    <t>Fortalecimiento de los actores de la salsa de la ciudad de  Cali</t>
  </si>
  <si>
    <t>BP26002882</t>
  </si>
  <si>
    <t>BP2600288210101</t>
  </si>
  <si>
    <t xml:space="preserve">Promover el  fortalecimiento  de los  actores de la salsa,  brindando capacitación  y asistencia técnica, a  75 personas vinculadas a  grupos u organizaciones del sector </t>
  </si>
  <si>
    <t>BP2600288210201</t>
  </si>
  <si>
    <t>Poner en circulación 1 contenido cultural, de los diferentes actores  de la  salsa</t>
  </si>
  <si>
    <t>Personas beneficiadas con el proceso de profesionalización de artistas</t>
  </si>
  <si>
    <t>Apoyo a la profesionalización de los artistas empíricos en Santiago de   Cali</t>
  </si>
  <si>
    <t>BP26002879</t>
  </si>
  <si>
    <t>BP2600287910101</t>
  </si>
  <si>
    <t>BP2600287910201</t>
  </si>
  <si>
    <t>Realizar 1 evento de promoción del acceso a la  profesionalización  de  artista  empíricos</t>
  </si>
  <si>
    <t>Contenidos audiovisuales o cinematográficos, artísticos, culturales y de formación entregados a través de plataformas</t>
  </si>
  <si>
    <t>Apoyo  a  la producción de audio y video con talento local en Santiago de  Cali</t>
  </si>
  <si>
    <t>BP26002860</t>
  </si>
  <si>
    <t>BP2600286010101</t>
  </si>
  <si>
    <t xml:space="preserve">Realizar  proceso  de  formación  en medios  y producción audiovisual,  y en curaduría  cinematográfica  dirigida a  20 personas </t>
  </si>
  <si>
    <t>BP2600286010201</t>
  </si>
  <si>
    <t>Realizar la asistencia técnica a una entidad territorial.</t>
  </si>
  <si>
    <t>Entidades Territoriales asistidas técnicamente</t>
  </si>
  <si>
    <t>BP2600286010301</t>
  </si>
  <si>
    <t>Poner en circulación 15  producciones  audiovisuales</t>
  </si>
  <si>
    <t>Escenarios para las artes escénicas de naturaleza pública fortalecidos con programación cultural y artística</t>
  </si>
  <si>
    <t>Ampliación de la oferta artística, cultural y de exhibición en escenarios de naturaleza pública de   Cali</t>
  </si>
  <si>
    <t>BP26002749</t>
  </si>
  <si>
    <t>BP2600274910101</t>
  </si>
  <si>
    <t>Realizar 5 eventos de promoción de actividades culturales</t>
  </si>
  <si>
    <t>BP2600274910201</t>
  </si>
  <si>
    <t>Beneficiar 25 personas con su circulación en escenarios culturales de la ciudad</t>
  </si>
  <si>
    <t>Jóvenes y adultos en proceso de formación en artes populares y tradicionales</t>
  </si>
  <si>
    <t>Fortalecimiento de las expresiones populares y tradicionales de Santiago de Cali</t>
  </si>
  <si>
    <t>BP26004724</t>
  </si>
  <si>
    <t>BP2600472410101</t>
  </si>
  <si>
    <t>BP2600472410201</t>
  </si>
  <si>
    <t>Adquirir instrumentos y elementos para apoyar 4 procesos de formación</t>
  </si>
  <si>
    <t>BP2600472410301</t>
  </si>
  <si>
    <t>Realizar 4 encuentros para la visibilización de  expresiones  artísticas  tradicionales</t>
  </si>
  <si>
    <t>Artistas, gestores y creadores culturales certificados en sus prácticas artísticas y culturales</t>
  </si>
  <si>
    <t>Apoyo a los procesos de certificación de artista, gestores y creadores culturales de Santiago Cali</t>
  </si>
  <si>
    <t>BP26002747</t>
  </si>
  <si>
    <t>BP2600274710101</t>
  </si>
  <si>
    <t>Apoyar la capacitación certificada de 45 personas  entre  artistas, gestores  y creadores  culturales</t>
  </si>
  <si>
    <t>Circulación de las creaciones artísticas y culturales, populares y tradicionales en escenarios estratégicos</t>
  </si>
  <si>
    <t>Fortalecimiento de los procesos creativos en Santiago de  Cali</t>
  </si>
  <si>
    <t>BP26002854</t>
  </si>
  <si>
    <t>BP2600285410101</t>
  </si>
  <si>
    <t>Apoyar  el desarrollo de  talleres  y de  obras  de  creación artística  y  cultural, con la entrega de  estímulos</t>
  </si>
  <si>
    <t>BP2600285410201</t>
  </si>
  <si>
    <t>Poner en circulación en escenarios estratégicos 1 creación  artística y cultural locales</t>
  </si>
  <si>
    <t xml:space="preserve">Contenidos culturales  en circulación </t>
  </si>
  <si>
    <t>Fortalecimiento a la circulación de expresiones y manifestaciones artísticas populares del distrito de Santiago de  Cali</t>
  </si>
  <si>
    <t>BP26004727</t>
  </si>
  <si>
    <t>BP2600472710101</t>
  </si>
  <si>
    <t xml:space="preserve">Poner en circulación en escenarios estratégicos 3 creaciones  artísticas y culturales </t>
  </si>
  <si>
    <t>BP2600472710201</t>
  </si>
  <si>
    <t>Apoyar  el desarrollo de  32  creaciones artísticas  y  culturales, con la entrega de  estímulos</t>
  </si>
  <si>
    <t xml:space="preserve">P </t>
  </si>
  <si>
    <t>Implementación del proceso de Gestión Cultural, bajo las políticas institucionales vigentes</t>
  </si>
  <si>
    <t>Protección de los inmuebles declarados como bienes de interés cultural de  Cali</t>
  </si>
  <si>
    <t>BP26002810</t>
  </si>
  <si>
    <t>BP2600281010101</t>
  </si>
  <si>
    <t xml:space="preserve">brindar  asistencias técnica,  para a definir  la viabilidad  de la  intervención  de 72  bienes  inmuebles  de  interés  cultural   de propiedad  privada </t>
  </si>
  <si>
    <t>BP2600281010201</t>
  </si>
  <si>
    <t>Realizar 12 publicaciones del patrimonio cultural</t>
  </si>
  <si>
    <t>Mejoramiento del sistema de gestión de calidad de la secretaria de cultura de Santiago de Cali</t>
  </si>
  <si>
    <t>BP26004630</t>
  </si>
  <si>
    <t>BP2600463010101</t>
  </si>
  <si>
    <t>Implementar el  sistema  de gestión documental , en el organismo</t>
  </si>
  <si>
    <t>BP2600463010201</t>
  </si>
  <si>
    <t xml:space="preserve">Implementar el sistema  de gestión del  organismo </t>
  </si>
  <si>
    <t>Bibliotecas Públicas del proceso de Gestión Cultural certificadas bajo la norma Técnica de Gestión de Calidad ISO 9001:2015</t>
  </si>
  <si>
    <t>Normalización de bibliotecas públicas con proceso de certificación de calidad en  Cali</t>
  </si>
  <si>
    <t>BP26002862</t>
  </si>
  <si>
    <t>BP2600286210101</t>
  </si>
  <si>
    <t>Implementar un   procesos  de  gestión , orientado a  la certificación de la  calidad,  de los servicios  que presta 1  biblioteca</t>
  </si>
  <si>
    <t>Sistema de gestión implementado</t>
  </si>
  <si>
    <t>Sistema de información cultural y de gestión del patrimonio, operando</t>
  </si>
  <si>
    <t>Implementación del sistema de información cultura en Santiago de   Cali</t>
  </si>
  <si>
    <t>BP26002894</t>
  </si>
  <si>
    <t>BP2600289410101</t>
  </si>
  <si>
    <t>Implementar 1 sistema de información para la gestión administrativa</t>
  </si>
  <si>
    <t xml:space="preserve">Sistemas de información para la gestión administrativa implementados </t>
  </si>
  <si>
    <t>BP2600289410201</t>
  </si>
  <si>
    <t>Actualizar 1 sistema de información para la gestión administrativa</t>
  </si>
  <si>
    <t xml:space="preserve">Sistemas de información para la gestión administrativa actualizados </t>
  </si>
  <si>
    <t xml:space="preserve"> Ciudadanía Empoderada</t>
  </si>
  <si>
    <t>Sistema Municipal de Cultura funcionando</t>
  </si>
  <si>
    <t>Implementación del Sistema Distrital de Cultura de Santiago de  Cali</t>
  </si>
  <si>
    <t>BP26004734</t>
  </si>
  <si>
    <t>BP2600473410101</t>
  </si>
  <si>
    <t xml:space="preserve">Realizar 3 encuentros para la organización y la participación del sector artístico y cultural </t>
  </si>
  <si>
    <t>BP2600473410201</t>
  </si>
  <si>
    <t xml:space="preserve">Brindar asistencia  técnica  y acompañamiento  a 37 personas en los  espacios de  participación  cultural, a nivel  distrital y territorial </t>
  </si>
  <si>
    <t>Vías y andenes adecuados con inclusión social</t>
  </si>
  <si>
    <t>m2</t>
  </si>
  <si>
    <t>Adecuación de vías y andenes en Santiago de Cali</t>
  </si>
  <si>
    <t>BP26003015</t>
  </si>
  <si>
    <t>BP2600301510101</t>
  </si>
  <si>
    <t>Realizar adecuación a la Infraestructura vial y peatonal en zona urbana</t>
  </si>
  <si>
    <t xml:space="preserve">Realizar el Mejoramiento de  3500  m2 de andenes de la red urbana </t>
  </si>
  <si>
    <t>Andenes de la red urbana mejorados</t>
  </si>
  <si>
    <t>Secretaría de Infraestructura - Subsecretaría de Mantenimiento Vial</t>
  </si>
  <si>
    <t>BP2600301510102</t>
  </si>
  <si>
    <t>Realizar el Mejoramiento de 0,7 Km de via urbana (equivale a 4200m2)</t>
  </si>
  <si>
    <t>Vía urbana mejorada</t>
  </si>
  <si>
    <t>Fortalecimiento y Gestión de los Socioecosistemas</t>
  </si>
  <si>
    <t>Vías rurales con mantenimiento anual rutinario con inclusión social</t>
  </si>
  <si>
    <t>Km</t>
  </si>
  <si>
    <t>Mantenimiento rutinario con inclusión social de las vías rurales de Santiago de Cali</t>
  </si>
  <si>
    <t>BP26002986</t>
  </si>
  <si>
    <t>BP2600298610101</t>
  </si>
  <si>
    <t>Mejorar la malla vial rural en los sectores de las cuencas de los Corregimientos de Cali</t>
  </si>
  <si>
    <t>Realizar manteminiento de 250 Km de via terciaria</t>
  </si>
  <si>
    <t xml:space="preserve">Vía terciaria con mantenimiento </t>
  </si>
  <si>
    <t xml:space="preserve">Movilidad Multimodal Sustentable </t>
  </si>
  <si>
    <t>Movilidad Peatonal</t>
  </si>
  <si>
    <t>Mantenimiento de puentes peatonales de la zona urbana y rural</t>
  </si>
  <si>
    <t xml:space="preserve">Número </t>
  </si>
  <si>
    <t>Mantenimiento y rehabilitación de puentes peatonales de la zona urbana y rural de Santiago de Cali</t>
  </si>
  <si>
    <t>BP26002987</t>
  </si>
  <si>
    <t>BP2600298710101</t>
  </si>
  <si>
    <t>Mejorar el estado de las soluciones peatonales existentes en Santiago de Cali</t>
  </si>
  <si>
    <t>Realizar mantenimiento a 27 puentes peatonales</t>
  </si>
  <si>
    <t>Puente peatonal con mantenimiento</t>
  </si>
  <si>
    <t xml:space="preserve">Transporte Público de Pasajeros  </t>
  </si>
  <si>
    <t>km de Corredores troncales del SITM - MIO construidos</t>
  </si>
  <si>
    <t>km</t>
  </si>
  <si>
    <t>Diseño y construcción de la infraestructura física asociada al Sistema Integrado de Transporte Masivo de Cali</t>
  </si>
  <si>
    <t>BP26003057</t>
  </si>
  <si>
    <t>BP2600305710101</t>
  </si>
  <si>
    <t>Construir la infraestructura asociada  a la movilidad del transporte público en el SITM-MIO</t>
  </si>
  <si>
    <t>Realizar la Contruccion de 2 km de via urbana</t>
  </si>
  <si>
    <t>Vía urbana construida</t>
  </si>
  <si>
    <t xml:space="preserve">Secretaría de Infraestructura </t>
  </si>
  <si>
    <t>BP2600305710102</t>
  </si>
  <si>
    <t>Realizar el mejoramiento de 14 km de vías urbanas</t>
  </si>
  <si>
    <t>BP2600305710105</t>
  </si>
  <si>
    <t>Realizar la Construcción de 1 terminal de transporte</t>
  </si>
  <si>
    <t>Terminales de transporte construidas</t>
  </si>
  <si>
    <t>Mejoramiento de Infraestructura Vial</t>
  </si>
  <si>
    <t>Vías y obras de drenaje en la zona urbana y rural construidas</t>
  </si>
  <si>
    <t>Construcción de vías y obras de drenaje en la zona urbana y rural de Santiago de Cali</t>
  </si>
  <si>
    <t>BP26002990</t>
  </si>
  <si>
    <t>BP2600299010102</t>
  </si>
  <si>
    <t>Aumentar la ejecucion de obras de infraestructura vial en zona urbana y rural</t>
  </si>
  <si>
    <t>Realizar la Construccion de  6,72 km de via terciaria</t>
  </si>
  <si>
    <t>Vía terciaria construida</t>
  </si>
  <si>
    <t>Construcción de obras de drenaje en el corregimiento de La Buitrera en Santiago de Cali</t>
  </si>
  <si>
    <t>BP26003988</t>
  </si>
  <si>
    <t>BP2600398810101</t>
  </si>
  <si>
    <t>Recuperar la infraestructura vial en el corregimiento de La Buitrera</t>
  </si>
  <si>
    <t>Realizar la rehabilitacion de  0,1 km de via terciaria</t>
  </si>
  <si>
    <t>Vía terciaria rehabilitada</t>
  </si>
  <si>
    <t>Construcción de vías y obras de drenaje en el corregimiento El Saladito en Santiago de Cali</t>
  </si>
  <si>
    <t>BP26003989</t>
  </si>
  <si>
    <t>BP2600398910103</t>
  </si>
  <si>
    <t>Recuperar la infraestructura vial en el corregimiento El Saladito de Santiago de Cali</t>
  </si>
  <si>
    <t>Realizar la rehabilitacion de 2,012 km de via terciaria</t>
  </si>
  <si>
    <t>Construcción de huellas y obras de drenaje en el corregimiento La Elvira en Santiago de Cali</t>
  </si>
  <si>
    <t>BP26003990</t>
  </si>
  <si>
    <t>BP2600399010101</t>
  </si>
  <si>
    <t>Recuperar la infraestructura vial en el corregimiento la  elvira de santiago de cali</t>
  </si>
  <si>
    <t>Realizar la rehabilitacion de  1,27 km de via terciaria</t>
  </si>
  <si>
    <t>Construcción de huellas y obras de drenaje en el corregimiento felidia santiago de cali</t>
  </si>
  <si>
    <t>BP26003991</t>
  </si>
  <si>
    <t>BP2600399110102</t>
  </si>
  <si>
    <t>Recuperar la infraestructura vial en el corregimiento felidia de santiago de cali</t>
  </si>
  <si>
    <t>Realizar el mejoramiento de  250 ml de via terciaria (equivale a 0,250 km)</t>
  </si>
  <si>
    <t>Vía terciaria mejorada</t>
  </si>
  <si>
    <t>BP2600399110101</t>
  </si>
  <si>
    <t>Realizar la rehabilitacion de  0,22 km de placa huella.</t>
  </si>
  <si>
    <t>Placa huella rehabilitada</t>
  </si>
  <si>
    <t>Construcción de vías y obras de drenaje en el corregimiento la castilla de santiago de cali</t>
  </si>
  <si>
    <t>BP26003993</t>
  </si>
  <si>
    <t>BP2600399310101</t>
  </si>
  <si>
    <t>Recuperar la infraestructura vial en el corregimiento la castilla</t>
  </si>
  <si>
    <t>Construcción de vías y obras de drenaje en el corregimiento la paz de santiago de cali</t>
  </si>
  <si>
    <t>BP26003994</t>
  </si>
  <si>
    <t>BP2600399410101</t>
  </si>
  <si>
    <t>Recuperar la infraestructura vial en el corregimiento la paz</t>
  </si>
  <si>
    <t>Realizar la rehabilitación de 0,608 km de via terciaria</t>
  </si>
  <si>
    <t>BP2600399410103</t>
  </si>
  <si>
    <t>Realizar el mejoramiento de 0,66 km de via terciaria</t>
  </si>
  <si>
    <t>Via terciaria mejorada</t>
  </si>
  <si>
    <t>Construccion de huellas y obras de drenaje en el corregimiento de  pichinde santiago de cali</t>
  </si>
  <si>
    <t>BP26003999</t>
  </si>
  <si>
    <t>Recuperar la infraestructura vial en el corregimiento pichindede santiago de cali</t>
  </si>
  <si>
    <t>Realizar la rehabilitacion de  0,297 km de placa huella</t>
  </si>
  <si>
    <t xml:space="preserve"> Placa huella construida</t>
  </si>
  <si>
    <t>Construcción de huellas y obras de drenaje en el corregimiento villacarmelo santiago de cali</t>
  </si>
  <si>
    <t>BP26004000</t>
  </si>
  <si>
    <t>BP2600400010101</t>
  </si>
  <si>
    <t>Recuperar la infraestructura vial en el corregimiento villacarmelo de santiago de cali</t>
  </si>
  <si>
    <t>Realizar el mejoramiento de  2,2 km de via terciaria</t>
  </si>
  <si>
    <t>Implementación del sistema de transporte Férreo en el ámbito metropolitano funcional  Distrito de Santiago de Cali</t>
  </si>
  <si>
    <t>BP26005140</t>
  </si>
  <si>
    <t>Facilitar la adecuada ejecución, gestión y supervisión técnica de las obras del tren de cercanías</t>
  </si>
  <si>
    <t>Realizar via y obra de drenaje en la zona urbana y rural construida</t>
  </si>
  <si>
    <t>Vías con mantenimiento y rehabilitación eco sostenible</t>
  </si>
  <si>
    <t>Mantemiento de la red vial  del corregimiento de la buitrera de santiago de cali</t>
  </si>
  <si>
    <t>BP26003962</t>
  </si>
  <si>
    <t>Mejorar la red vial existente en el Corregimiento de La Buitrera</t>
  </si>
  <si>
    <t>Realizar  el mantenimiento de 1,50 km de vias terciaria</t>
  </si>
  <si>
    <t xml:space="preserve"> Vía terciaria con mantenimiento</t>
  </si>
  <si>
    <t>mantenimiento de la malla vial de la comuna 6 de santiago de cali</t>
  </si>
  <si>
    <t>BP26003969</t>
  </si>
  <si>
    <t>BP2600396910101</t>
  </si>
  <si>
    <t>Mejorar el estado de las vías de la comuna 6 santiago de cali</t>
  </si>
  <si>
    <t>Realizar la rehabilitacion de 0,18 km de via urbana</t>
  </si>
  <si>
    <t>Vía urbana rehabilitada</t>
  </si>
  <si>
    <t>mantenimiento de vías en la comuna 7 de santiago de cali</t>
  </si>
  <si>
    <t>BP26003970</t>
  </si>
  <si>
    <t>BP2600397010101</t>
  </si>
  <si>
    <t>Mejorar el estado de las vías de la comuna 7 santiago de cali</t>
  </si>
  <si>
    <t>Realizar la rehabilitacion de 0,1,396 km de via urbana</t>
  </si>
  <si>
    <t>mantenimiento de la malla vial de la comuna 11 de santiago de cali</t>
  </si>
  <si>
    <t>BP26003972</t>
  </si>
  <si>
    <t>BP2600397210101</t>
  </si>
  <si>
    <t>Mejorar el estado de las vías de la comuna 11 de santiago de cali</t>
  </si>
  <si>
    <t>Realizar la rehabilitacion de 1,016 km de via urbana</t>
  </si>
  <si>
    <t>mantenimiento de la malla vial de la comuna 13 de santiago de cali</t>
  </si>
  <si>
    <t>BP26003973</t>
  </si>
  <si>
    <t>BP2600397310101</t>
  </si>
  <si>
    <t>Mejorar el estado de las vías de la comuna 13 de santiago de cali</t>
  </si>
  <si>
    <t>Realizar la rehabilitacion de 1,26 km de via urbana</t>
  </si>
  <si>
    <t>mantenimiento de vías en la comuna 21 de santiago de cali</t>
  </si>
  <si>
    <t>BP26003979</t>
  </si>
  <si>
    <t>BP2600397910101</t>
  </si>
  <si>
    <t>Mejorar el estado de las vías de la comuna 21 santiago de cali</t>
  </si>
  <si>
    <t>Realizar la rehabilitacion de 0,2815 km de via urbana</t>
  </si>
  <si>
    <t>Conservación del estado de la malla vial en Santiago de Cali</t>
  </si>
  <si>
    <t>BP26004834</t>
  </si>
  <si>
    <t>BP2600483410101</t>
  </si>
  <si>
    <t>Mejorar el estado de la malla vial</t>
  </si>
  <si>
    <t>Realizar la rehabilitaciion de 0,5 Km de vias urbana</t>
  </si>
  <si>
    <t xml:space="preserve">Vía urbana rehabilitada </t>
  </si>
  <si>
    <t>BP2600483410102</t>
  </si>
  <si>
    <t>Realizar mantenimiento de 110 Km de vias urbana</t>
  </si>
  <si>
    <t>Vía urbana con mantenimiento</t>
  </si>
  <si>
    <t>Puentes vehiculares en la zona urbana y rural mantenidos</t>
  </si>
  <si>
    <t>Numero</t>
  </si>
  <si>
    <t>Mantenimiento de puentes vehiculares en la zona urbana y rural de Santiago de Cali</t>
  </si>
  <si>
    <t>BP26003007</t>
  </si>
  <si>
    <t>BP2600300710101</t>
  </si>
  <si>
    <t>Mejorar el estado de los puentes vehiculares existentes en la zona urbana de Cali</t>
  </si>
  <si>
    <t>Realizar el mantenimiento de 7 puentes vehiculares en la zona urbana</t>
  </si>
  <si>
    <t xml:space="preserve">Puente de la red vial urbana con mantenimiento </t>
  </si>
  <si>
    <t xml:space="preserve">Frentes de trabajo de las 21 Megaobras ejecutados mediante el sistema de contribución por valorización </t>
  </si>
  <si>
    <t>Construcción de frentes de trabajo de las 21 Megaobras ejecutados mediante el sistema de contribución por valorización en Santiago de Cali</t>
  </si>
  <si>
    <t>BP26002991</t>
  </si>
  <si>
    <t>BP2600299110101</t>
  </si>
  <si>
    <t>Mitigar las dificultades de movilidad de los puntos criticos de la ciudad</t>
  </si>
  <si>
    <t xml:space="preserve">Realizar Construccion de  6 Km de via urbana </t>
  </si>
  <si>
    <t xml:space="preserve">Vía urbana construida </t>
  </si>
  <si>
    <t>Secretaría de Infraestructura - Subsecretaría de Apoyo Técnico - Subsecretaría de Mantenimiento Vial</t>
  </si>
  <si>
    <t>Construcción de obras de estabilización y contención en la zona urbana y rural de Cali</t>
  </si>
  <si>
    <t>m3</t>
  </si>
  <si>
    <t>Construcción obras de estabilización y contención en Santiago de Cali</t>
  </si>
  <si>
    <t>BP26002992</t>
  </si>
  <si>
    <t>BP2600299210101</t>
  </si>
  <si>
    <t>Construir obras de contención, estabilización y/o drenajes en zona urbana de Santiago de Cali</t>
  </si>
  <si>
    <t>Realizar Estabilizacion de 1 sitios criticos de la red urbana (equivalente a 7m3)</t>
  </si>
  <si>
    <t>Sitio crítico de la red urbana estabilizado</t>
  </si>
  <si>
    <t>Construcción de obras de estabilización y contención en corregimiento de la Buitrera de Santiago de Cali</t>
  </si>
  <si>
    <t>BP26003981</t>
  </si>
  <si>
    <t>BP2600398110101</t>
  </si>
  <si>
    <t>Incrementar la construcción de obras estabilizacion y contencion en en el corregimiento pichinde</t>
  </si>
  <si>
    <t>Realizar Estabilizacion de 1 sitios criticos de la red terciaria (equivalente a 65 m3)</t>
  </si>
  <si>
    <t>Sitio crítico de la red terciaria estabilizado</t>
  </si>
  <si>
    <t>Demoliciones de techos de áreas afectadas por asentamientos de desarrollo incompleto del Proyecto Plan Jarillón, realizadas con procesos de concertación y garantía de derechos</t>
  </si>
  <si>
    <t>Número</t>
  </si>
  <si>
    <t>Apoyo en la recuperación de zonas ocupadas irregularmente en el plan Jarillón de Cali</t>
  </si>
  <si>
    <t>BP26002754</t>
  </si>
  <si>
    <t>BP2600275410101</t>
  </si>
  <si>
    <t>Aumentar los recursos humanos y materiales para realizar labores de recuperacion de zonas afectadas</t>
  </si>
  <si>
    <t>Realizar 540 obras de reducción del riesgo de desastres</t>
  </si>
  <si>
    <t>Obras de infraestructura para la reducción del riesgo de desastres realizadas</t>
  </si>
  <si>
    <t>Intersecciones en el sistema de semaforización inteligente implementadas</t>
  </si>
  <si>
    <t>Implementación de sistema de semaforización inteligente (ssi) en Santiago de Cali</t>
  </si>
  <si>
    <t>BP-26002924</t>
  </si>
  <si>
    <t>BP2600292410101</t>
  </si>
  <si>
    <t>1 Apoyo técnico en la implementación de la infraestructura del sistema semaforico inteligente</t>
  </si>
  <si>
    <t>Infraestructura mejorada</t>
  </si>
  <si>
    <t>Movilidad  - Subsecretaria de la movilidad sostenible y seguirdad vial</t>
  </si>
  <si>
    <t>BP2600292410201</t>
  </si>
  <si>
    <t>Intersecciones mejoradas</t>
  </si>
  <si>
    <t>Servicio de apoyo tecnológico para las intersecciones del sistema semaforico en la vías (el 25% de las 200 intersecciones semaforicas de la meta del cuatrenio, igual a 50 intersecciones)</t>
  </si>
  <si>
    <t>Vias con tecnologia implementada para la seguridad ciudadana</t>
  </si>
  <si>
    <t>53 Cali, Nuestra Casa Común</t>
  </si>
  <si>
    <t xml:space="preserve">                                                                                                                                                                                                                                                                                                                                                                                                                                                                                                                                                                                                                                                                                                                                                                                                                                                                                                                                                                                                                                                                                                                                                                                                                                                                                                                                                                                                                                                                                                                                                                                                                                                                                                                                                                                                                                                                                                                                                                                            </t>
  </si>
  <si>
    <t xml:space="preserve">Movilidad en Bicicleta </t>
  </si>
  <si>
    <t>Puntos de Ciclo parqueaderos en la ciudad instalados</t>
  </si>
  <si>
    <t>Construcción de cicloparqueaderos en puntos atractores de viaje en Santiago de Cali</t>
  </si>
  <si>
    <t>BP-26003058</t>
  </si>
  <si>
    <t>BP2600305810101</t>
  </si>
  <si>
    <t>Puntos de cicloparqueaderos en la ciudad instalados</t>
  </si>
  <si>
    <t>Construir 40 Ciclo parqueaderos para estacionamiento de bicicletas en Santiago de Cali.</t>
  </si>
  <si>
    <t>Cicloparqueaderos Construidos</t>
  </si>
  <si>
    <t>Ejecución de recursos FESDE para la operación del Sistema de Transporte Masivo, reportado</t>
  </si>
  <si>
    <t>Apoyo a la sostenibilidad del SITM-MIO del Distrito Santiago de Cali</t>
  </si>
  <si>
    <t>BP-26002814</t>
  </si>
  <si>
    <t>BP2600281410101</t>
  </si>
  <si>
    <t>Realizar 4 Documentos de lineamientos técnicos ejecuccion de recursos FESDE</t>
  </si>
  <si>
    <t xml:space="preserve">Estrategias financieras y operativas de optimización del SITM_MIO implementadas </t>
  </si>
  <si>
    <t>Implementación del Sistema Inteligente Integrado de Transporte Público en Santiago de  Cali</t>
  </si>
  <si>
    <t>BP-26004729</t>
  </si>
  <si>
    <t>BP260047291010101</t>
  </si>
  <si>
    <t>Sistema de transporte público de pasajeros cofinanciado</t>
  </si>
  <si>
    <t>Desarrollar 1 estrategia para la implementación del Sistema Inteligente Integrado de Transporte Público de Pasajeros (SIITP)</t>
  </si>
  <si>
    <t xml:space="preserve">Regulación, Control y Gestión Inteligente del Tránsito  </t>
  </si>
  <si>
    <t xml:space="preserve">Mantenimiento de la red semaforizada en Cali realizada </t>
  </si>
  <si>
    <t>Mantenimiento de la red semaforizada del municipio de Cali</t>
  </si>
  <si>
    <t>BP-26002902</t>
  </si>
  <si>
    <t>BP2600290210101</t>
  </si>
  <si>
    <t>Realizar 1 mantenimiento para la renovacion fisica de la infraestructura de la red semaforizada de Santiago de Cali</t>
  </si>
  <si>
    <t xml:space="preserve">Puntos de la red vial del Distrito de Cali señalizados </t>
  </si>
  <si>
    <t>Mejoramiento de la señalización vial, en Santiago de   Cali</t>
  </si>
  <si>
    <t>BP-26003061</t>
  </si>
  <si>
    <t>BP2600306110101</t>
  </si>
  <si>
    <t>Realizar la señalizacion de 1.100 Puntos de Red vial en vias de la ciudad</t>
  </si>
  <si>
    <t>Vías con dispositivos de control y señalización instalados</t>
  </si>
  <si>
    <t xml:space="preserve">Operativos en vía para el control de vehículos automotores realizados </t>
  </si>
  <si>
    <t>Fortalecimiento de la Gestión Inteligente para la Regulación y Control del Transito en Santiago de Cali</t>
  </si>
  <si>
    <t>BP-26002783</t>
  </si>
  <si>
    <t>BP2600278310101</t>
  </si>
  <si>
    <t>Realizar 2000 operativos de control en diferentes puntos de la ciudad</t>
  </si>
  <si>
    <t>Operativos de control realizado</t>
  </si>
  <si>
    <t xml:space="preserve">Movilidad - subsecretaria de servicios de Movilidad </t>
  </si>
  <si>
    <t>BP2600278310201</t>
  </si>
  <si>
    <t>Realizar 1 adquisición del servicio e insumos de uso diario de los agentes para el control del transito</t>
  </si>
  <si>
    <t>Organismo de tránsito dotado con implementos para el control del tránsito</t>
  </si>
  <si>
    <t xml:space="preserve">Acciones del plan local de seguridad vial implementados </t>
  </si>
  <si>
    <t>Implementación del Plan Local de Seguridad Vial de Distrito de Santiago de Cali</t>
  </si>
  <si>
    <t>BP-26002981</t>
  </si>
  <si>
    <t>BP2600298110101</t>
  </si>
  <si>
    <t xml:space="preserve">Realizar la implementacion de 11 acciones estrategicas del  Plan de Local de seguridad vial </t>
  </si>
  <si>
    <t>Estrategias Implementadas</t>
  </si>
  <si>
    <t xml:space="preserve">Infraestructura física y tecnológica para una atención efectiva integral al usuario realizada  </t>
  </si>
  <si>
    <t>Mejoramiento de la infraestructura física y tecnológica para una atención efectiva al usuario de la secretaria de movilidad Cali</t>
  </si>
  <si>
    <t>BP-26002813</t>
  </si>
  <si>
    <t>BP2600281310101</t>
  </si>
  <si>
    <t xml:space="preserve">Infraestructura física y tecnológica para una atención efectiva integral al usuario realizada </t>
  </si>
  <si>
    <t xml:space="preserve">Realizar 1 adecuación para la infraestructura fisica y tecnologica utilizados en la prestación de servicios a la ciudadania en el marco de la seguridad vial </t>
  </si>
  <si>
    <t>Organismos de tránsito dotados con implementos para el control del tránsito</t>
  </si>
  <si>
    <t>Se  realizó el  mantenimiento a la infraestructura física desarrollando actividades como pintura, adecuación de espacios, mantenimientos de A.A, Mamposteria y adecuaciones sanitarias, se realizo la instalación del cableado estructurado(datos y electricos) en el edificio de agentes de transito, con lo que se brindara una mejor y oportuna atención a los ciudadanos que acuden a Este organismo</t>
  </si>
  <si>
    <t>Unidad de Aapoyo a la Gestion</t>
  </si>
  <si>
    <t xml:space="preserve">Centro de enseñanza automovilística de Distrito de Cali operando </t>
  </si>
  <si>
    <t xml:space="preserve">
Servicio del centro de enseñanza automovilística del distrito de Santiago de Cali</t>
  </si>
  <si>
    <t>BP-26002903</t>
  </si>
  <si>
    <t>BP2600290310101</t>
  </si>
  <si>
    <t>Capacitar a 200 nuevos usuarios aspirantes a conductores  en el centro de enseñanza de Automovilismo</t>
  </si>
  <si>
    <t>Educacion y cultura Vial</t>
  </si>
  <si>
    <t>BP2600290310201</t>
  </si>
  <si>
    <t>Adquirir 2 implementos educativos para el funcionamiento del Centro de Enseñanza</t>
  </si>
  <si>
    <t>Implementos educativos adquiridos</t>
  </si>
  <si>
    <t>Actores de la movilidad sensibilizados sobre la movilidad sostenible y segura</t>
  </si>
  <si>
    <t>Mejoramiento de los comportamientos en seguridad vial para los actores de las vias en el Municipio de Santiago de Cali-CAPACITACIÓN EN BUENAS CONDUCTAS Y PRÁCTICAS DE MOVILIDAD SEGURA A LOS ACTORES VIALES EN CALI</t>
  </si>
  <si>
    <t>BP-26003046</t>
  </si>
  <si>
    <t>BP2600304610101</t>
  </si>
  <si>
    <t xml:space="preserve">Actores de la movilidad sensibilizados sobre la movilidad sostenible y segura </t>
  </si>
  <si>
    <t>Capacitar en educacion vial    y adquirir herramientas pedagogicas para a 170.000 infractores de las reglas de transito</t>
  </si>
  <si>
    <t xml:space="preserve">Promoción y pedagogía de comportamientos y prácticas seguras para la movilidad sustentable y sobre estrategias de regulación del tránsito realizadas </t>
  </si>
  <si>
    <t>Fortalecimiento del desarrollo de estrategias de promoción y pedagogía para la movilidad sustentable en Santiago de cali</t>
  </si>
  <si>
    <t>BP-26003025</t>
  </si>
  <si>
    <t>BP2600302510101</t>
  </si>
  <si>
    <t>Sensibilizar a los actores de la movilidad en normas de tránsito y seguridad vial</t>
  </si>
  <si>
    <t>Realizar 6 campañas de promocion de seguridad vial on  gremios, colectivos, organizaciones y organismos del sector público</t>
  </si>
  <si>
    <t>Campañas realizadas</t>
  </si>
  <si>
    <t>BP2600302510201</t>
  </si>
  <si>
    <t>Adquirir 1 elementos y herramientas educativas, pedagógicas y lúdícas</t>
  </si>
  <si>
    <t xml:space="preserve">Espacios de participación e interacción con los diversos actores viales y comunidad del Municipio de Cali implementados </t>
  </si>
  <si>
    <t>Fortalecimiento de los espacios de participación ciudadana para la movilidad en Santiago de Cali</t>
  </si>
  <si>
    <t>BP-26003056</t>
  </si>
  <si>
    <t>BP2600305610101</t>
  </si>
  <si>
    <t>Promover espacios de participación ciudadana en temas de movilidad de la ciudad</t>
  </si>
  <si>
    <t>Promover 50 espacios de participacion ciudadana en los territorios en temas de movilidad.</t>
  </si>
  <si>
    <t>Unidad de Apoyo a la Gestion</t>
  </si>
  <si>
    <t xml:space="preserve">Proceso de gestión de tránsito y transporte implementado bajo las políticas institucionales vigentes </t>
  </si>
  <si>
    <t>Fortalecimiento  del Modelo Integrado de Planeación y Gestión en la Secretaría de Movilidad para dar cumplimiento a las políticas institucionales vigentes  Cali</t>
  </si>
  <si>
    <t>BP-26002863</t>
  </si>
  <si>
    <t>BP2600286310101</t>
  </si>
  <si>
    <t>Mantener 1 proceso de gestion de transito y transporte actualizado conforme a los lineamientos institucionales de acuerdo a MIPG</t>
  </si>
  <si>
    <t>Cartera morosa por infracciones de tránsito, recuperada</t>
  </si>
  <si>
    <t>Recuperación de la cartera morosa de infractores de la via en la secretaria de movilidad  municipio de Santiago de Cali</t>
  </si>
  <si>
    <t>BP-26003044</t>
  </si>
  <si>
    <t>BP2600304410101</t>
  </si>
  <si>
    <t xml:space="preserve">Realizar la recuperacion  del 10%  de la cartera morosa infraciones de transito  a deudores morosos. </t>
  </si>
  <si>
    <t>Oficina de Contravencciones</t>
  </si>
  <si>
    <t>Proyectos con ejecucion fisica en 0%</t>
  </si>
  <si>
    <t xml:space="preserve">Defensa del Consumidor </t>
  </si>
  <si>
    <t>Establecimientos de comercio nocturno vinculados al proceso de certificación de buenas prácticas de seguridad</t>
  </si>
  <si>
    <t>Habilitación  en buenas prácticas de seguridad en establecimientos de comercio nocturno en Cali</t>
  </si>
  <si>
    <t>BP26003763</t>
  </si>
  <si>
    <t>Secretaría de Seguridad y Justicia - Subsecretaría de Inspección Vigilancia y Control</t>
  </si>
  <si>
    <t>BP2600376310101</t>
  </si>
  <si>
    <t>Vincular 220 establecimientos de comercio nocturno al proceso de certificación de buenas prácticas de seguridad (Servicio de adopción y seguimiento de acciones y medidas especiales)</t>
  </si>
  <si>
    <t>Acciones y medidas especiales ejecutadas</t>
  </si>
  <si>
    <t xml:space="preserve">Permisos de eventos de aglomeraciones públicas expedidos en línea </t>
  </si>
  <si>
    <t>Implementación de un sistema en línea para la expedición de permisos de eventos y aglomeraciones públicas en Santiago de   Cali</t>
  </si>
  <si>
    <t>BP26004498</t>
  </si>
  <si>
    <t>BP2600449810101</t>
  </si>
  <si>
    <t>Expedir en línea 300 permisos de eventos de aglomeraciones públicas (implementar  sistematización para el Servicio de  información)</t>
  </si>
  <si>
    <t>Agentes del mercado sensibilizados en normas de protección al consumidor</t>
  </si>
  <si>
    <t>Desarrollo de estrategia de sensibilización a los agentes del mercado en normas de protección al consumidor en Santiago de Cali</t>
  </si>
  <si>
    <t>BP26003764</t>
  </si>
  <si>
    <t>BP2600376410101</t>
  </si>
  <si>
    <t>Sensibilizar a 780 agentes del mercado en normas de protección al consumidor (Servicio de asistencia técnica en inspección, vigilancia y control)</t>
  </si>
  <si>
    <t>Asistencias técnica en Inspección, Vigilancia y Control realizadas</t>
  </si>
  <si>
    <t>Personas que incurren en comportamientos contrarios a la convivencia sensibilizadas</t>
  </si>
  <si>
    <t>Prevención y atención de comportamientos contrarios a la convivencia ciudadana en Santiago de Cali</t>
  </si>
  <si>
    <t>BP26003812</t>
  </si>
  <si>
    <t>Secretaría de Seguridad y Justicia - Subsecretaría de Acceso a Servicios de Justicia</t>
  </si>
  <si>
    <t>BP2600381210101</t>
  </si>
  <si>
    <t>Sensibilizar a 1017 personas que incurren en comportamientos contrarios a la convivencia (Servicio de educación informal)</t>
  </si>
  <si>
    <t>Personas participando en la estrategia de prevención de la violencia familiar y sexual</t>
  </si>
  <si>
    <t>Implementación de una estrategia integral de prevención y atención de la violencia familiar y sexual desde los servicios de acceso a la justicia con enfoque diferencial en  Cali.</t>
  </si>
  <si>
    <t>BP26003903</t>
  </si>
  <si>
    <t>BP2600390310101</t>
  </si>
  <si>
    <t>Vincular a 12625 personas en la estrategia de prevención de la violencia familiar y sexual (Servicio de educación informal en prevención del delito)</t>
  </si>
  <si>
    <t>Seguridad y Lucha Contra el Delito</t>
  </si>
  <si>
    <t>Zonas turísticas afectadas por el delito de hurto intervenidas en seguridad y convivencia</t>
  </si>
  <si>
    <t>Implementación de estrategia de prevención del delito en zonas turísticas priorizadas en Santiago de  Cali</t>
  </si>
  <si>
    <t>BP26003164</t>
  </si>
  <si>
    <t>Secretaría de Seguridad y Justicia- Subsecretaría de Politica de Seguridad</t>
  </si>
  <si>
    <t>BP2600316410101</t>
  </si>
  <si>
    <t>Brindar 2 Servicios de inteligencia técnica</t>
  </si>
  <si>
    <t>Equipos para inteligencia adquiridos</t>
  </si>
  <si>
    <t>BP2600316410201</t>
  </si>
  <si>
    <t>Intervenir 6 zonas turísticas afectadas por el delito de hurto en seguridad y convivencia (Implemnetar  Iniciativas de convivencia y no repetición)</t>
  </si>
  <si>
    <t xml:space="preserve">Iniciativas para la promoción de la convivencia implementadas </t>
  </si>
  <si>
    <t>Agencias de seguridad para el fortalecimiento del proceso investigativo contra el crimen, apoyadas</t>
  </si>
  <si>
    <t>Fortalecimiento Agencias de Seguridad en el proceso investigativo en Santiago de Cali</t>
  </si>
  <si>
    <t>BP26003166</t>
  </si>
  <si>
    <t>BP2600316610101</t>
  </si>
  <si>
    <t>Apoyar 1 agencias de seguridad para el fortalecimiento del proceso investigativo contra el crimen (Implementar estrategias de apoyo para el acceso a la justicia policiva)</t>
  </si>
  <si>
    <t>Estrategias implementadas</t>
  </si>
  <si>
    <t>Fortalecimiento del sistema de denuncias de la fiscalía general de la Nación Seccional Cali a través del apoyo de prestadores de servicios en la recepción de las denuncias.</t>
  </si>
  <si>
    <t>Agencias de seguridad y justicia apoyadas en su operatividad</t>
  </si>
  <si>
    <t>Fortalecimiento  Integral del Centro Facilitador de Servicios Migratorios de Santiago De  Cali</t>
  </si>
  <si>
    <t>BP26003177</t>
  </si>
  <si>
    <t>BP2600317710101</t>
  </si>
  <si>
    <t>Apoyar 1 agencia de seguridad y justicia en su operatividad (Servicio de apoyo para el acceso a la justicia policiva)</t>
  </si>
  <si>
    <t>Fortalecimiento a la movilidad de la Policía de Santiago de  Cali</t>
  </si>
  <si>
    <t>BP26003753</t>
  </si>
  <si>
    <t>BP2600375310101</t>
  </si>
  <si>
    <t>Fortalecimiento logístico a la fuerza aérea para el patrullaje en Santiago de Cali</t>
  </si>
  <si>
    <t>BP26003762</t>
  </si>
  <si>
    <t>BP2600376210101</t>
  </si>
  <si>
    <t>Estrategias implemenetadas</t>
  </si>
  <si>
    <t>Fortalecimiento de la operatividad de las agencias de seguridad y justicia a través del plan integral de seguridad y convivencia ciudadana en Santiago de Cali</t>
  </si>
  <si>
    <t>BP26003765</t>
  </si>
  <si>
    <t>BP2600376510101</t>
  </si>
  <si>
    <t>Apoyar a las agencias de seguridad y justicia en su operatividad (Servicio de apoyo para el acceso a la justicia policiva)</t>
  </si>
  <si>
    <t>Fortalecimiento de la operatividad de las Unidades de la Tercera Brigada del Ejército en Santiago de  Cali</t>
  </si>
  <si>
    <t>BP26004221</t>
  </si>
  <si>
    <t>BP2600422110101</t>
  </si>
  <si>
    <t>Estrategias implimentadas</t>
  </si>
  <si>
    <t>Apoyo en la Operatividad de la Policía Metropolitana y del CTI en Santiago de  Cali</t>
  </si>
  <si>
    <t>BP26004442</t>
  </si>
  <si>
    <t>BP2600444210101</t>
  </si>
  <si>
    <t>Apoyo a la Unidad Nacional de Protección de Santiago de  Cali</t>
  </si>
  <si>
    <t>BP26004443</t>
  </si>
  <si>
    <t>BP2600444310101</t>
  </si>
  <si>
    <t xml:space="preserve">Estrategias implementadas </t>
  </si>
  <si>
    <t>Infraestructura de agencias de seguridad y justicia adecuadas</t>
  </si>
  <si>
    <t>Adecuación de la infraestructura física de los organismos de seguridad y justicia de Santiago de Cali</t>
  </si>
  <si>
    <t>BP26003255</t>
  </si>
  <si>
    <t>BP2600325510101</t>
  </si>
  <si>
    <t>Numero de centros</t>
  </si>
  <si>
    <t>Adecuación de infraestructura física a agencias de seguridad de la comuna 22 en Santiago de  Cali</t>
  </si>
  <si>
    <t>BP26004076</t>
  </si>
  <si>
    <t>BP2600407610101</t>
  </si>
  <si>
    <t xml:space="preserve">Adecuar Infraestructura para la promoción a la cultura de la legalidad y a la convivencia </t>
  </si>
  <si>
    <t>Mesas de seguridad vecinales con enfoque de prevención situacional del delito operando</t>
  </si>
  <si>
    <t>Desarrollo de estrategias para la prevención situacional del delito en Santiago de Cali</t>
  </si>
  <si>
    <t>BP26005080</t>
  </si>
  <si>
    <t>BP2600508010101</t>
  </si>
  <si>
    <t>Promover 9 espacios de participación ciudadana</t>
  </si>
  <si>
    <t>Espacios de participación promovidos</t>
  </si>
  <si>
    <t>Sistemas de monitoreo y alerta del delito implementado</t>
  </si>
  <si>
    <t>Fortalecimiento del sistema de monitoreo y alerta del delito en la comuna 17 de Cali</t>
  </si>
  <si>
    <t>BP26004982</t>
  </si>
  <si>
    <t>BP2600498210101</t>
  </si>
  <si>
    <t>Implementar 16 sistemas de monitoreo y alerta del delito (Incrementar el vigilancia a través de cámaras de seguridad)</t>
  </si>
  <si>
    <t xml:space="preserve">Cámaras de seguridad instaladas
</t>
  </si>
  <si>
    <t>Fortalecimiento del sistema de monitoreo y alerta del delito en la comuna 22 de Santiago de Cali</t>
  </si>
  <si>
    <t>BP26003736</t>
  </si>
  <si>
    <t>BP2600373610101</t>
  </si>
  <si>
    <t>Implementar 26 sistemas de monitoreo y alerta del delito (Instalar Cámaras de seguridad)</t>
  </si>
  <si>
    <t>Camaras de seguridad instaladas</t>
  </si>
  <si>
    <t>BP2600373610102</t>
  </si>
  <si>
    <t>Implementar 1 sistemas de monitoreo y alerta del delito (Instalar Cámaras de seguridad)</t>
  </si>
  <si>
    <t>Infraestructura para la promoción a la cultura de la legalidad y a la convivencia dotada</t>
  </si>
  <si>
    <t>Fortalecimiento del sistema de monitoreo, video vigilancia y alerta del delito en Santiago de  Cali</t>
  </si>
  <si>
    <t>BP26003738</t>
  </si>
  <si>
    <t>BP2600373810101</t>
  </si>
  <si>
    <t>Implementar 64 sistemass de monitoreo y alerta del delito (Servicio de inteligencia técnica)</t>
  </si>
  <si>
    <t>Entornos de las Instituciones Educativas intervenidos con estrategia intersectorial de erradicación del microtráfico</t>
  </si>
  <si>
    <t>Implementación de estrategia intersectorial de erradicación del microtráfico en los entornos de las Instituciones Educativas en  Cali</t>
  </si>
  <si>
    <t>BP26003275</t>
  </si>
  <si>
    <t>BP2600327510101</t>
  </si>
  <si>
    <t>Intervenir 6 entornos de las instituciones educativas con estrategia intersectorial de erradicación del microtráfico (Promocionar iniciativas de convivencia y no repetición)</t>
  </si>
  <si>
    <t>Iniciativas para la promoción de la convivencia implementadas</t>
  </si>
  <si>
    <t xml:space="preserve">Se realizaron 3 jornadas de revisión de estupefacientes y prevención del consumo a niños, niñas y adolescentes en las instituciones educativas: Técnico Industrial Simón Rodríguez, Institución educativa Diamante sede Juan Pablo II e Institución educativa Golondrinas. Dichas visitas se han programado con base en las denuncias comunitarias sobre problemáticas de convivencia en estos planteles educativos. </t>
  </si>
  <si>
    <t>BP2600327510201</t>
  </si>
  <si>
    <t>Brindar 6 asistencias técnicas a las Instituciones educativas para la erradicación del microtrafico</t>
  </si>
  <si>
    <t>Infraestructura penitenciaria adecuada</t>
  </si>
  <si>
    <t>Mejoramiento de la infraestructura penitenciaria de Cali</t>
  </si>
  <si>
    <t>BP26003278</t>
  </si>
  <si>
    <t>BP2600327810101</t>
  </si>
  <si>
    <t>Adecuar 2 Infraestructura penitenciaria (Infraestructura penitenciaria y carcelaria con mejoramiento)</t>
  </si>
  <si>
    <t>Establecimiento de reclusión (nacionales y territoriales) con mejoramiento</t>
  </si>
  <si>
    <t>Población de adultos y adolescentes que incurren en responsabilidad penal, intervenidos con acompañamiento psicosocial y/o procesos de justicia restaurativa</t>
  </si>
  <si>
    <t>Desarrollo de una estrategia de justicia restaurativa para adultos y adolescentes que incurren en responsabilidad penal en Cali.</t>
  </si>
  <si>
    <t>BP26003282</t>
  </si>
  <si>
    <t>BP2600328210101</t>
  </si>
  <si>
    <t>Intervenir a 75 adultos y adolescentes que incurren en responsabilidad penal, con acompañamiento psicosocial y procesos de justicia restaurativa (Brindar asistencia técnica para la resocialización e inclusión social)</t>
  </si>
  <si>
    <t>Asistencias técnicas en resocialización inclusión social realizadas</t>
  </si>
  <si>
    <t>Centros de formación para menores infractores adecuados</t>
  </si>
  <si>
    <t>Mejoramiento  de la infraestructura de los Centros de formación para Adolescentes en conflicto con la ley de Santiago de Cali</t>
  </si>
  <si>
    <t>BP26003790</t>
  </si>
  <si>
    <t>BP2600379010101</t>
  </si>
  <si>
    <t>Adecuar 2 Centros de Atención Especializada - CAE para el restablecimiento de derechos</t>
  </si>
  <si>
    <t>Centros de Atención Especializada - CAE para el restablecimiento de derechos adecuados</t>
  </si>
  <si>
    <t>Despachos de Acceso a la Justicia adecuados</t>
  </si>
  <si>
    <t>Adecuación de Despachos de Acceso a la Justicia en Santiago de   Cali</t>
  </si>
  <si>
    <t>BP26003288</t>
  </si>
  <si>
    <t>BP2600328810101</t>
  </si>
  <si>
    <t>Adecuar 5 despachos de acceso a la justicia para la promoción a la cultura de la legalidad y a la convivencia)</t>
  </si>
  <si>
    <t>Infraestructurapara la promoción a la cultura de la legalidad y a la convivencia  adecuada</t>
  </si>
  <si>
    <t>Víctimas protegidas en la ruta de riesgo de amenaza de violencia (RIAV)</t>
  </si>
  <si>
    <t>Implementación Programa de protección de victimas en riesgo de amenaza  Cali</t>
  </si>
  <si>
    <t>BP26003314</t>
  </si>
  <si>
    <t>Secretaría de Seguridad y Justicia- SubSecretaría de Politica de Seguridad</t>
  </si>
  <si>
    <t>BP2600331410101</t>
  </si>
  <si>
    <t xml:space="preserve">Brindar atención a 30 victimas en servicio de protección individual en riesgo extraordinario y extremo
</t>
  </si>
  <si>
    <t>Personas en riesgo extraordinario y extremo protegidas</t>
  </si>
  <si>
    <t>Poblaciones construyendo territorio</t>
  </si>
  <si>
    <t>Jóvenes vinculados a situaciones delictivas, intervenidos</t>
  </si>
  <si>
    <t>Prevención de las violencias en jóvenes vinculados a situaciones delictivas de la comuna 15 de Cali</t>
  </si>
  <si>
    <t>BP26003483</t>
  </si>
  <si>
    <t>BP2600348310101</t>
  </si>
  <si>
    <t>Intervenir a 130 jóvenes vinculados a situaciones delictivas (Brindar educación informal)</t>
  </si>
  <si>
    <t>BP2600348310201</t>
  </si>
  <si>
    <t>Brindar 1 servicio de promoción de convivencia y no repetición</t>
  </si>
  <si>
    <t>Iniciativas para la promoción de la Convivencia Implementadas.</t>
  </si>
  <si>
    <t>Desarrollo de acciones para la prevención de jóvenes a situaciones delictivas de la comuna 21 en Santiago de  Cali</t>
  </si>
  <si>
    <t>BP26004980</t>
  </si>
  <si>
    <t>BP2600498010101</t>
  </si>
  <si>
    <t>Intervenir a 100 jóvenes vinculados a situaciones delictivas (Brindar educación informal)</t>
  </si>
  <si>
    <t xml:space="preserve">Personas capacitadas 
</t>
  </si>
  <si>
    <t>Prevención a la vinculación de jóvenes en situaciones delictivas en Santiago de Cali</t>
  </si>
  <si>
    <t>BP26003756</t>
  </si>
  <si>
    <t>BP2600375610101</t>
  </si>
  <si>
    <t>Intervenir a 390 jóvenes vinculados a situaciones delictivas (Brindar educación informal)</t>
  </si>
  <si>
    <t>BP2600375610201</t>
  </si>
  <si>
    <t xml:space="preserve">Implementar 1 iniciativas para la  promoción de convivencia y no repetición
</t>
  </si>
  <si>
    <t xml:space="preserve">Iniciativas para la promoción de la convivencia implementadas
</t>
  </si>
  <si>
    <t>Desarrollo de estrategias para la prevención de jóvenes a situaciones delictivas de la comuna 12 en Santiago de  Cali</t>
  </si>
  <si>
    <t>BP26004983</t>
  </si>
  <si>
    <t>BP2600498310101</t>
  </si>
  <si>
    <t xml:space="preserve">Todas las Mujeres Todos los Derechos </t>
  </si>
  <si>
    <t xml:space="preserve">Mujeres participando en estrategia de prevención de las violencias basadas en género y feminicidios </t>
  </si>
  <si>
    <t>Prevención de las violencias basadas en género y feminicidio en   Cali</t>
  </si>
  <si>
    <t>BP26002933</t>
  </si>
  <si>
    <t>BP2600293310101</t>
  </si>
  <si>
    <t>Vincular a 2726 mujeres en las estrategias de prevención de las violencias basadas en género y feminicidio (Desaerrollar estrategias promocinando el acceso a la justicia)</t>
  </si>
  <si>
    <t>Estrategias de acceso a la justicia desarrolladas</t>
  </si>
  <si>
    <t>BP2600293310201</t>
  </si>
  <si>
    <t>Realizar campaña de  divulgación promoviendo el acceso a la Justicia</t>
  </si>
  <si>
    <t>Campañas de divulgación ejecutadas</t>
  </si>
  <si>
    <t>Espacio Público para la Integración SocioEcológica</t>
  </si>
  <si>
    <t>Vendedores informales organizados en el espacio público por actividad económica</t>
  </si>
  <si>
    <t>Desarrollo de una  estrategia de regulación de los Vendedores Informales en   Cali</t>
  </si>
  <si>
    <t>BP26002845</t>
  </si>
  <si>
    <t>BP2600284510101</t>
  </si>
  <si>
    <t>Organizar a 150 vendedores informales en el espacio público por actividad ecnómica (Desarrollar estrategia de  adopción y seguimiento de acciones y medidas especiales)</t>
  </si>
  <si>
    <t xml:space="preserve">
Acciones y medidas especiales ejecutadas</t>
  </si>
  <si>
    <t xml:space="preserve">Por medio del equipo operativo se reguló e intervino el espacio público en la ciudad de Cali, consiguiendo la organización de 187 vendedores informales.
</t>
  </si>
  <si>
    <t>BP2600284510201</t>
  </si>
  <si>
    <t xml:space="preserve">Brindar servicio de comunicación y divulgación en inspección, vigilancia y control </t>
  </si>
  <si>
    <t xml:space="preserve">
Productos de comunicación difundidos</t>
  </si>
  <si>
    <t>BP26005091</t>
  </si>
  <si>
    <t>BP2600509110101</t>
  </si>
  <si>
    <t>Realziar 650 diligencias de inspección, vigilancia y control (Servicio de inspección, vigilancia y control )</t>
  </si>
  <si>
    <t>Diligencia de inspección realizadas</t>
  </si>
  <si>
    <t>BP2600509110201</t>
  </si>
  <si>
    <t>Capacitar a 100 personas en normas de conservación y protección del espacio público (Servicio de educación informal)</t>
  </si>
  <si>
    <t>Corredores viales principales con control a la saturación visual de publicidad exterior visual ilegal</t>
  </si>
  <si>
    <t>Descontaminación de corredores viales de publicidad exterior visual en Santiago de  Cali</t>
  </si>
  <si>
    <t>BP26003162</t>
  </si>
  <si>
    <t>BP2600316210101</t>
  </si>
  <si>
    <t>Controlar 13 corredores viales pincipales de la saturación visual de publicidad exterior visual ilegal (Realizar diliigencias de inspección, vigilancia y control)</t>
  </si>
  <si>
    <t xml:space="preserve">Diligencias de inspección realizadas </t>
  </si>
  <si>
    <t>En el desarrollo de las intervenciones de inspección, vigilancia y control, se atendieron diecisiete (17) corredores viales, siendo este descontaminado de elementos de publicidad exterior visual.</t>
  </si>
  <si>
    <t xml:space="preserve">Cali, Nuestra Casa Común </t>
  </si>
  <si>
    <t xml:space="preserve">Gobernanza, Gobernabilidad y Cultura Ambiental  </t>
  </si>
  <si>
    <t xml:space="preserve">Techos a la intemperie en zonas protegidas y no protegidas desmontados </t>
  </si>
  <si>
    <t>Restitución de espacio público y privado por desmonte de techos en zonas protegidas y no protegidas en Santiago de   Cali</t>
  </si>
  <si>
    <t>BP26003318</t>
  </si>
  <si>
    <t>BP2600331810101</t>
  </si>
  <si>
    <t>Desmontar 648 techos a la interperie en zonas protegidas y no protegidas (Realizar jornadas  de prevención, vigilancia y control de las áreas protegidas)</t>
  </si>
  <si>
    <t>Áreas cubiertas con jornadas de vigilancia (Hectáreas)</t>
  </si>
  <si>
    <t xml:space="preserve">Reducción del Riesgo  </t>
  </si>
  <si>
    <t xml:space="preserve">Bocaminas activas ilegales cerradas  </t>
  </si>
  <si>
    <t>Erradicación de la minería ilegal en el parque Nacional Natural los Farallones de Cali</t>
  </si>
  <si>
    <t>BP26003317</t>
  </si>
  <si>
    <t>BP2600331710101</t>
  </si>
  <si>
    <t xml:space="preserve">Bocaminas activas ilegales cerradas </t>
  </si>
  <si>
    <t>Cerrar 7 bocaminas activas ilegales (Servicio de asistencia técnica en el marco de la formulación e implementación de proyectos demostrativos para la reducción de impactos ambientales de la minería)</t>
  </si>
  <si>
    <t>Proyectos demostrativos para la reducción de impactos ambientales de la minería diseñados</t>
  </si>
  <si>
    <t>Procesos institucionales de la Secretaría de Seguridad y Justicia mejorados, conforme a los requerimientos de las políticas institucionales vigentes</t>
  </si>
  <si>
    <t>Fortalecimiento de la gestión institucional en la secretaría de seguridad y justicia de Santiago de Cali</t>
  </si>
  <si>
    <t>BP26003832</t>
  </si>
  <si>
    <t>Secretaría de Seguridad y Justicia- UAG</t>
  </si>
  <si>
    <t>BP2600383210101</t>
  </si>
  <si>
    <t>Elaborar 2 Documentos de evaluación</t>
  </si>
  <si>
    <t>BP2600383210201</t>
  </si>
  <si>
    <t>Brindar 1 servicio de información actualizado</t>
  </si>
  <si>
    <t>Investigaciones producidas por el observatorio de seguridad</t>
  </si>
  <si>
    <t>Fortalecimiento del componente investigativo del Observatorio de Seguridad  de   Cali</t>
  </si>
  <si>
    <t>BP26003157</t>
  </si>
  <si>
    <t>Secretaría de Seguridad y Justicia- Subsecretaría de politica de Seguridad</t>
  </si>
  <si>
    <t>BP2600315710101</t>
  </si>
  <si>
    <t>Producir 1 investigación por el observatorio de seguridad (Elaborar Documentos de investigación)</t>
  </si>
  <si>
    <t xml:space="preserve">Documentos de investigación elaborados
</t>
  </si>
  <si>
    <t>BP2600315710201</t>
  </si>
  <si>
    <t>Construir Documentos metodológicos</t>
  </si>
  <si>
    <t xml:space="preserve">Documentos metodológicos realizados
</t>
  </si>
  <si>
    <t>Centro de Gestión del Conocimiento y la Innovación en materia de seguridad y justicia funcionando</t>
  </si>
  <si>
    <t>Implementación de un Centro de Gestión del Conocimiento y la Innovación en materia de seguridad y justicia  Cali</t>
  </si>
  <si>
    <t>BP26003076</t>
  </si>
  <si>
    <t>BP2600307610101</t>
  </si>
  <si>
    <t>Implementar un centro de gestión del conocimiento y la innovación en materia de seguridad y justicia (Construir Documentos metodológicos)</t>
  </si>
  <si>
    <t>BP2600307610201</t>
  </si>
  <si>
    <t>Implementar un centro de gestión del conocimiento y la innovación en materia de seguridad y justicia (Elaborar Documentos Planeación)</t>
  </si>
  <si>
    <t xml:space="preserve">Planes estratégicos elaborados
</t>
  </si>
  <si>
    <t>Sistema interactivo de reporte de quejas en línea de construcciones, antenas irreglamentarias y obras, implementado</t>
  </si>
  <si>
    <t>Implementación sistema interactivo reporte de quejas en línea de construcciones, antenas irreglamentarias y obras en  Cali</t>
  </si>
  <si>
    <t>BP26003163</t>
  </si>
  <si>
    <t>BP2600316310101</t>
  </si>
  <si>
    <t>Realizar 3.500 acciones de inspección, vigilancia y control</t>
  </si>
  <si>
    <t>Diligencias de inspección realizadas</t>
  </si>
  <si>
    <t>BP2600316310201</t>
  </si>
  <si>
    <t>Implementar un sistema interactivo de reporte de quejas en línea de construcciones, antenas irreglamentarias y obras (Implementar Servicio información)</t>
  </si>
  <si>
    <t>Eventos deportivos y recreativos de innovación locales, nacionales e internacionales, realizados</t>
  </si>
  <si>
    <t>Recreación a través de Eventos Deportivos y Recreativos en la Comuna 6 de Santiago de Cali</t>
  </si>
  <si>
    <t>BP26003941</t>
  </si>
  <si>
    <t>BP2600394110101</t>
  </si>
  <si>
    <t>Eventos deportivos comunitarios realizados</t>
  </si>
  <si>
    <t>Realizar un (1) evento  deportivo y recreativo</t>
  </si>
  <si>
    <t>Secretaría del Deporte y la Recreación - 
Subsecretaría de Fomento al Deporte</t>
  </si>
  <si>
    <t>Desarrollo de Eventos Deportivos y Recreativos de Innovación Locales, Nacionales e Internaionales en Santiago de Cali</t>
  </si>
  <si>
    <t>BP26004726</t>
  </si>
  <si>
    <t>BP2600472610101</t>
  </si>
  <si>
    <t>Recreación y Deporte con Eventos en la Comuna 13 de Santiago de Cali</t>
  </si>
  <si>
    <t>BP26004772</t>
  </si>
  <si>
    <t>BP2600477210101</t>
  </si>
  <si>
    <t>Recreación y Deporte con Eventos en la Comuna 2 de Santiago de Cali</t>
  </si>
  <si>
    <t>BP26004851</t>
  </si>
  <si>
    <t>BP2600485110101</t>
  </si>
  <si>
    <t>Recreación y Deporte con Eventos en el Corregimiento de Golondrinas de Santiago de Cali</t>
  </si>
  <si>
    <t>BP26004970</t>
  </si>
  <si>
    <t>BP2600497010101</t>
  </si>
  <si>
    <t>Recreación y Deporte con Eventos en la Comuna 21 de Santiago de Cali</t>
  </si>
  <si>
    <t>BP26004990</t>
  </si>
  <si>
    <t>BP2600499010101</t>
  </si>
  <si>
    <t>Recreación y Deporte con Eventos en la Comuna 3 de Santiago de Cali</t>
  </si>
  <si>
    <t>BP26004998</t>
  </si>
  <si>
    <t>BP2600499810101</t>
  </si>
  <si>
    <t>Recreación y Deporte con Eventos en la Comuna 10 de Santiago de Cali</t>
  </si>
  <si>
    <t>BP26005011</t>
  </si>
  <si>
    <t>BP2600501110101</t>
  </si>
  <si>
    <t>Recreación y Deporte con Eventos en la Comuna 12 de Santiago de Cali</t>
  </si>
  <si>
    <t>BP26005020</t>
  </si>
  <si>
    <t>BP2600502010101</t>
  </si>
  <si>
    <t>Recreación y Deporte con Eventos en la Comuna 14 de Santiago de Cali</t>
  </si>
  <si>
    <t>BP26005050</t>
  </si>
  <si>
    <t>BP2600505010101</t>
  </si>
  <si>
    <t>Recreación y Deporte con Eventos en la Comuna 22 de Santiago de Cali</t>
  </si>
  <si>
    <t>BP26005053</t>
  </si>
  <si>
    <t>BP2600505310101</t>
  </si>
  <si>
    <t>Ligas, clubes y deportistas para el desarrollo del distrito deportivo, apoyados</t>
  </si>
  <si>
    <t>Apoyo al Desarrollo Deportivo de Clubes y Deportistas de Santiago de Cali</t>
  </si>
  <si>
    <t>BP26004703</t>
  </si>
  <si>
    <t>BP2600470310101</t>
  </si>
  <si>
    <t>Organismos deportivos apoyados</t>
  </si>
  <si>
    <t>Prestar un (1) servicio de asistencia técnica para la promoción del deporte
(auspicio de clubes deportivos).</t>
  </si>
  <si>
    <t>Servicio de asistencia técnica para la promoción del deporte</t>
  </si>
  <si>
    <t>BP2600470310201</t>
  </si>
  <si>
    <t>Brindar un (1) servicio de apoyo financiero a atletas</t>
  </si>
  <si>
    <t>Estímulos entregados</t>
  </si>
  <si>
    <t>BP2600470310301</t>
  </si>
  <si>
    <t xml:space="preserve">Realizar 5 documentos de lineamientos técnicos </t>
  </si>
  <si>
    <t>Número de documentos</t>
  </si>
  <si>
    <t>Niñas, niños de primera infancia beneficiados anualmente con experiencias en juego, lúdica y recreación</t>
  </si>
  <si>
    <t>Recreación con Experiencias de juego y Lúdica a Niñas y Niños de Primera Infancia de Santiago de Cali</t>
  </si>
  <si>
    <t>BP26004705</t>
  </si>
  <si>
    <t>BP2600470510101</t>
  </si>
  <si>
    <t>Promover experiencias de juego, lúdica y recreación para 400 niñas y niños de primera infancia</t>
  </si>
  <si>
    <t>Personas que acceden a servicios deportivos, recreativos y de actividad física</t>
  </si>
  <si>
    <t>Niñas, niños de infancia, adolescencia y juventud beneficiados anualmente con experiencias en juego, lúdica y recreación</t>
  </si>
  <si>
    <t>Recreación, Juego y Lúdica con Niños y Niñas De Infancia, Adolescentes y Jóvenes de Santiago de Cali.</t>
  </si>
  <si>
    <t>BP26004706</t>
  </si>
  <si>
    <t>BP2600470610101</t>
  </si>
  <si>
    <t>Fomentar experiencias de juego, lúdica y recreación para 500 niños, adolescentes y jóvenes</t>
  </si>
  <si>
    <t>Niñas, niños, adolescentes, jóvenes y adultos (incluidos con discapacidad) beneficiados anualmente con programas de iniciación y formación deportiva en disciplinas tradicionales y de nuevas tendencias en comunas y corregimientos</t>
  </si>
  <si>
    <t>Aprovechamiento del Tiempo Libre con Iniciación y Formación Deportiva en Santiago de Cali</t>
  </si>
  <si>
    <t>BP26004707</t>
  </si>
  <si>
    <t>BP2600470710101</t>
  </si>
  <si>
    <t>Niñas, niños, adolescentes, jóvenes y adultos (incluidos con discapacidad) beneficiados anualmente con programas de iniciación y formación deportiva</t>
  </si>
  <si>
    <t>Beneficiar 2000 Niños, niñas, adolescentes y jóvenes inscritos en Escuelas Deportivas.</t>
  </si>
  <si>
    <t>Niños, niñas, adolescentes y jóvenes inscritos en Escuelas Deportivas</t>
  </si>
  <si>
    <t>BP2600470710201</t>
  </si>
  <si>
    <t>Beneficiar 500 jóvenes y adultos con iniciación y formación deportiva tradicionales y de nuevas tendencias</t>
  </si>
  <si>
    <t>BP2600470710301</t>
  </si>
  <si>
    <t xml:space="preserve">Beneficiar 300 personas con preparación de rendimiento deportivo en disciplinas individuales y de conjunto </t>
  </si>
  <si>
    <t>Aprovechamiento del Tiempo Libre a través de Iniciación y Formación Deportiva en la Comuna 4 de Santiago de Cali.</t>
  </si>
  <si>
    <t>BP26004770</t>
  </si>
  <si>
    <t>BP2600477010101</t>
  </si>
  <si>
    <t>Beneficiar 680 niños, niñas, adolescentes y jóvenes inscritos en Escuelas Deportivas</t>
  </si>
  <si>
    <t>Aprovechamiento del Tiempo Libre a través de Iniciación y Formación Deportiva en la Comuna 1 de Santiago de Cali.</t>
  </si>
  <si>
    <t>BP26004771</t>
  </si>
  <si>
    <t>BP2600477110101</t>
  </si>
  <si>
    <t>Beneficiar 1010 niños, niñas, adolescentes y jóvenes inscritos en Escuelas Deportivas</t>
  </si>
  <si>
    <t>Aprovechamiento del Tiempo Libre a través de Iniciación y Formación Deportiva en la Comuna 6 de Santiago de Cali.</t>
  </si>
  <si>
    <t>BP26004780</t>
  </si>
  <si>
    <t>BP2600478010101</t>
  </si>
  <si>
    <t>Beneficiar 510 niños, niñas, adolescentes y jóvenes inscritos en Escuelas Deportivas</t>
  </si>
  <si>
    <t>Aprovechamiento del Tiempo Libre a través de Iniciación y Formación Deportiva en la Comuna 16 de Santiago de Cali.</t>
  </si>
  <si>
    <t>BP26004781</t>
  </si>
  <si>
    <t>BP2600478110101</t>
  </si>
  <si>
    <t>Beneficiar 900 niños, niñas, adolescentes y jóvenes inscritos en Escuelas Deportivas</t>
  </si>
  <si>
    <t>Aprovechamiento del Tiempo Libre a través de Iniciación y Formación Deportiva en la Comuna 9 de Santiago de Cali.</t>
  </si>
  <si>
    <t>BP26004933</t>
  </si>
  <si>
    <t>BP2600493310101</t>
  </si>
  <si>
    <t>Beneficiar 640 niños, niñas, adolescentes y jóvenes inscritos en Escuelas Deportivas</t>
  </si>
  <si>
    <t>Aprovechamiento del Tiempo Libre a través de Iniciación y Formación Deportiva en el Corregimiento de Montebello de Santiago de Cali.</t>
  </si>
  <si>
    <t>BP26004972</t>
  </si>
  <si>
    <t>BP2600497210101</t>
  </si>
  <si>
    <t>Beneficiar 380 niños, niñas, adolescentes y jóvenes inscritos en Escuelas Deportivas</t>
  </si>
  <si>
    <t>Aprovechamiento del Tiempo Libre a través de Iniciación y Formación Deportiva en la Comuna 15 de Santiago de Cali.</t>
  </si>
  <si>
    <t>BP26004976</t>
  </si>
  <si>
    <t>BP2600497610101</t>
  </si>
  <si>
    <t>Beneficiar 1200 niños, niñas, adolescentes y jóvenes inscritos en Escuelas Deportivas</t>
  </si>
  <si>
    <t>Aprovechamiento del Tiempo Libre a través de Iniciación y Formación Deportiva en la Comuna 21 de Santiago de Cali.</t>
  </si>
  <si>
    <t>BP26004979</t>
  </si>
  <si>
    <t>BP2600497910101</t>
  </si>
  <si>
    <t>Beneficiar 560 niños, niñas, adolescentes y jóvenes inscritos en Escuelas Deportivas</t>
  </si>
  <si>
    <t>Aprovechamiento del Tiempo Libre a través de Iniciación y Formación Deportiva en la Comuna 22 de Santiago de Cali.</t>
  </si>
  <si>
    <t>BP26004992</t>
  </si>
  <si>
    <t>BP2600499210101</t>
  </si>
  <si>
    <t>Beneficiar 260 niños, niñas, adolescentes y jóvenes inscritos en Escuelas Deportivas</t>
  </si>
  <si>
    <t>Aprovechamiento del Tiempo Libre a través de Iniciación y Formación Deportiva en la Comuna 18 de Santiago de Cali.</t>
  </si>
  <si>
    <t>BP26004995</t>
  </si>
  <si>
    <t>BP2600499510101</t>
  </si>
  <si>
    <t>Aprovechamiento del Tiempo Libre a través de Iniciación y Formación Deportiva en el Corregimiento El Hormiguero de Santiago de Cali</t>
  </si>
  <si>
    <t>BP26004996</t>
  </si>
  <si>
    <t>BP2600499610101</t>
  </si>
  <si>
    <t>Beneficiar 370 niños, niñas, adolescentes y jóvenes inscritos en Escuelas Deportivas</t>
  </si>
  <si>
    <t>Aprovechamiento del Tiempo Libre a través de Iniciación y Formación Deportiva en la Comuna 3 de Santiago de Cali.</t>
  </si>
  <si>
    <t>BP26005000</t>
  </si>
  <si>
    <t>BP2600500010101</t>
  </si>
  <si>
    <t>Beneficiar 690 niños, niñas, adolescentes y jóvenes inscritos en Escuelas Deportivas</t>
  </si>
  <si>
    <t>Aprovechamiento del Tiempo Libre a través de Iniciación y Formación Deportiva en la Comuna 10 de Santiago de Cali.</t>
  </si>
  <si>
    <t>BP26005010</t>
  </si>
  <si>
    <t>BP2600501010101</t>
  </si>
  <si>
    <t>Beneficiar 540 niños, niñas, adolescentes y jóvenes inscritos en Escuelas Deportivas</t>
  </si>
  <si>
    <t>Aprovechamiento del Tiempo Libre a través de Iniciación y Formación Deportiva en la Comuna 17 de Santiago de Cali.</t>
  </si>
  <si>
    <t>BP26005012</t>
  </si>
  <si>
    <t>BP2600501210101</t>
  </si>
  <si>
    <t>Aprovechamiento del Tiempo Libre a través de Iniciación y Formación Deportiva en la Comuna 14 de Santiago de Cali.</t>
  </si>
  <si>
    <t>BP26005052</t>
  </si>
  <si>
    <t>BP2600505210101</t>
  </si>
  <si>
    <t>Beneficiar 5400 niños, niñas, adolescentes y jóvenes inscritos en Escuelas Deportivas</t>
  </si>
  <si>
    <t>Jornadas de Ciclovía realizadas</t>
  </si>
  <si>
    <t>Recreación en Jornadas de Ciclovía y de Actividad Física en Santiago de Cali</t>
  </si>
  <si>
    <t>BP26004704</t>
  </si>
  <si>
    <t>BP2600470410101</t>
  </si>
  <si>
    <t xml:space="preserve">Desarrollar 38 jornadas de ciclovia y de actividad física </t>
  </si>
  <si>
    <t>BP2600470410201</t>
  </si>
  <si>
    <t>Beneficiar a 10000 personas que acceden a servicios deportivos, recreativos y de actividad física</t>
  </si>
  <si>
    <t>BP2600470410301</t>
  </si>
  <si>
    <t>Organizar 10 servicios de apoyo a la actividad física, la recreación y el deporte</t>
  </si>
  <si>
    <t>Adultos mayores beneficiados con estrategias en pro del envejecimiento funcional saludable y activo</t>
  </si>
  <si>
    <t>Recreación con Estrategias en Pro del Envejecimiento Funcional Saludable y Activo con Adultos Mayores de la Comuna 3 de Santiago de Cali</t>
  </si>
  <si>
    <t>BP26004997</t>
  </si>
  <si>
    <t>BP2600499710101</t>
  </si>
  <si>
    <t xml:space="preserve">Promover hábitos saludables en 300 adultos mayores. </t>
  </si>
  <si>
    <t>Equidad Social</t>
  </si>
  <si>
    <t>Personas beneficiadas con programa recreativo dirigido a personas en riesgo social con enfoque diferencial, étnico y de género</t>
  </si>
  <si>
    <t>Recreación a Población en Situación de Riesgo Social de Santiago de Cali</t>
  </si>
  <si>
    <t>BP26004708</t>
  </si>
  <si>
    <t>BP2600470810101</t>
  </si>
  <si>
    <t>Beneficiar 800 personas en riesgo social con programas de deporte, actividad física y recreación.</t>
  </si>
  <si>
    <t>BP2600470810201</t>
  </si>
  <si>
    <t>Realizar un (1) evento deportivo y recreativo para población víctima del conflicto armado.</t>
  </si>
  <si>
    <t>Intervenciones en escenarios deportivos y recreativos en comunas y corregimientos diseñados, con mantenimiento, construidos o adecuados</t>
  </si>
  <si>
    <t>Mantenimiento del Estadio Olímpico Pascual Guerrero Santiago de Cali</t>
  </si>
  <si>
    <t>BP26002431</t>
  </si>
  <si>
    <t>BP2600243110101</t>
  </si>
  <si>
    <t>Escenarios deportivos en comunas y corregimientos mantenidos, adecuados, rehabilitados y mejorados.</t>
  </si>
  <si>
    <t>Mantener 1 infraestructura fisica del estadio Pascual Guerrero de Santiago de Cali.</t>
  </si>
  <si>
    <t>Infraestructuras deportivas mantenida.</t>
  </si>
  <si>
    <t>Secretaría del Deporte y la Recreación - 
Subsecretaría de Infraestructura Deportiva</t>
  </si>
  <si>
    <t>BP2600243110201</t>
  </si>
  <si>
    <t>Realizar 1 mantenimiento a los elementos  complementarios del Estadio Pascual Guerrero de Santiago de Cali.</t>
  </si>
  <si>
    <t>Canchas multifuncionales mantenidas.</t>
  </si>
  <si>
    <t>Mejoramiento de los equipamientos deportivos y recreativos de Santiago de Cali.</t>
  </si>
  <si>
    <t>BP26002547</t>
  </si>
  <si>
    <t>BP2600254710101</t>
  </si>
  <si>
    <t>Realizar mantenimiento a 3 parques recreativos.</t>
  </si>
  <si>
    <t>Parques recreativos mantenidos.</t>
  </si>
  <si>
    <t>BP2600254710201</t>
  </si>
  <si>
    <t>Realizar mejoramiento a 1 parque recreativo.</t>
  </si>
  <si>
    <t>Parques recreativos mejorados.</t>
  </si>
  <si>
    <t>Adecuación de Equipamientos Deportivos y Recreativos de Santiago de Cali.</t>
  </si>
  <si>
    <t>BP26002548</t>
  </si>
  <si>
    <t>BP2600254810101</t>
  </si>
  <si>
    <t>Mejorar las condiciones de 4 escenarios deportivos y recreativos</t>
  </si>
  <si>
    <t>Placa deportiva adecuada</t>
  </si>
  <si>
    <t>BP2600254810201</t>
  </si>
  <si>
    <t xml:space="preserve">Placa deportiva mejorada </t>
  </si>
  <si>
    <t>Mantenimiento de los Equipamientos Deportivos y Recreativos de Santiago de Cali</t>
  </si>
  <si>
    <t>BP26002549</t>
  </si>
  <si>
    <t>BP2600254910101</t>
  </si>
  <si>
    <t>Preservar 300 escenarios deportivos y recreativos  de Santiago de Cali.</t>
  </si>
  <si>
    <t>BP2600254910201</t>
  </si>
  <si>
    <t>Preservar 15 escenarios de  de Santiago de Cali.</t>
  </si>
  <si>
    <t>Adecuación de Espacios Públicos Deportivos y Recreativos de la Comuna 2 del Distrito Especial de Santiago de Cali.</t>
  </si>
  <si>
    <t>BP-26004940</t>
  </si>
  <si>
    <t>BP2600494010101</t>
  </si>
  <si>
    <t>Adecuar 3 escenarios deportivos.</t>
  </si>
  <si>
    <t>Parques  adecuados</t>
  </si>
  <si>
    <t>Adecuación de Espacios Públicos Deportivos y Recreativos de la Comuna 5 del Distrito Especial de Santiago de Cali.</t>
  </si>
  <si>
    <t>BP26004944</t>
  </si>
  <si>
    <t>BP2600494410101</t>
  </si>
  <si>
    <t>Adecuar 2 escenarios deportivos.</t>
  </si>
  <si>
    <t>Adecuación de Espacios Públicos Deportivos y Recreativos de la Comuna 7 del Distrito Especial de Santiago de Cali.</t>
  </si>
  <si>
    <t>BP26004960</t>
  </si>
  <si>
    <t>BP2600496010101</t>
  </si>
  <si>
    <t>Adecuación de Espacios Públicos Deportivos y Recreativos de la Comuna 8 del Distrito Especial de Santiago de Cali.</t>
  </si>
  <si>
    <t>BP26004961</t>
  </si>
  <si>
    <t>BP2600496110101</t>
  </si>
  <si>
    <t>Adecuación de Espacios Públicos Deportivos y Recreativos de la Comuna 10 del Distrito Especial de Santiago de Cali.</t>
  </si>
  <si>
    <t>BP26004962</t>
  </si>
  <si>
    <t>BP2600496210101</t>
  </si>
  <si>
    <t>Adecuar 4 escenarios deportivos (polideportivos).</t>
  </si>
  <si>
    <t>Polideportivos adecuados</t>
  </si>
  <si>
    <t>Adecuación de Espacios Públicos Deportivos y Recreativos de la Comuna 11 del Distrito Especial de Santiago de Cali.</t>
  </si>
  <si>
    <t>BP26004963</t>
  </si>
  <si>
    <t>BP2600496310101</t>
  </si>
  <si>
    <t>Parque adecuado</t>
  </si>
  <si>
    <t>Adecuación de Polideportivos de la Comuna 11 del Distrito Especial de Santiago de Cali.</t>
  </si>
  <si>
    <t>BP26004964</t>
  </si>
  <si>
    <t>BP2600496410101</t>
  </si>
  <si>
    <t>Adecuar 3 escenarios deportivos (polideportivos).</t>
  </si>
  <si>
    <t>Adecuación de Espacios Públicos Deportivos y Recreativos de la Comuna 13 del Distrito Especial de Santiago de Cali.</t>
  </si>
  <si>
    <t>BP26004966</t>
  </si>
  <si>
    <t>BP2600496610101</t>
  </si>
  <si>
    <t>Parques adecuados</t>
  </si>
  <si>
    <t>Adecuación de Espacios Públicos Deportivos y Recreativos de la Comuna 18 del Distrito Especial de Santiago de Cali.</t>
  </si>
  <si>
    <t>BP26004967</t>
  </si>
  <si>
    <t>BP2600496710101</t>
  </si>
  <si>
    <t>Adecuación de Espacios Públicos Deportivos y Recreativos del Corregimiento Montebello del Distrito Especial de Santiago de Cali.</t>
  </si>
  <si>
    <t>BP26004969</t>
  </si>
  <si>
    <t>BP2600496910101</t>
  </si>
  <si>
    <t>Adecuar 1 escenarios deportivos (cancha).</t>
  </si>
  <si>
    <t>Canchas multifuncionales adecuadas</t>
  </si>
  <si>
    <t>Adecuación de Espacios Públicos Deportivos y Recreativos de la Comuna 21 del Distrito Especial de Santiago de Cali.</t>
  </si>
  <si>
    <t>BP26004977</t>
  </si>
  <si>
    <t>BP2600497710101</t>
  </si>
  <si>
    <t>Deporte para el Desarrollo Social del Distrito Especial</t>
  </si>
  <si>
    <t>Eventos académicos para el sector deporte, recreativo y de actividad física, realizados</t>
  </si>
  <si>
    <t>Aprovechamiento y Cualificación con Eventos Académicos para el Sector Deporte, Recreativo y de Actividad Física de Santiago de Cali.</t>
  </si>
  <si>
    <t>BP26004730</t>
  </si>
  <si>
    <t>BP2600473010101</t>
  </si>
  <si>
    <t>Realizar un (1) evento académico para el sector deporte, recreativo y de actividad física.</t>
  </si>
  <si>
    <t>Servicio del deporte, recreación y actividad física ejecutado bajo las políticas institucionales vigentes</t>
  </si>
  <si>
    <t>Fortalecimiento del Sistema de Gestión de Calidad de la Secretaria del Deporte y la Recreación de Santiago de Cali.</t>
  </si>
  <si>
    <t>BP26002545</t>
  </si>
  <si>
    <t>BP2600254510101</t>
  </si>
  <si>
    <t>Servicio del deporte, la  recreación y la actividad física bajo las políticas institucionales mejorado</t>
  </si>
  <si>
    <t>Planificar, implementar o evaluar 6 procesos del organismo.</t>
  </si>
  <si>
    <t>Sistema de Gestión implementado.</t>
  </si>
  <si>
    <t>Secretaría del Deporte y la Recreación - 
Unidad de Apoyo a la Gestión</t>
  </si>
  <si>
    <t>BP2600254510201</t>
  </si>
  <si>
    <t>Planificar e implementar 3 procesos del organismo.</t>
  </si>
  <si>
    <t>BP2600254510301</t>
  </si>
  <si>
    <t xml:space="preserve">Implementar 5 procesos del organismo. </t>
  </si>
  <si>
    <t>Sistemas de información implementados.</t>
  </si>
  <si>
    <t>Investigaciones del sector deporte realizadas en la visión Cali 2036</t>
  </si>
  <si>
    <t>Desarrollo de Investigaciones al Servicio del Deporte, la Recreación y la Actividad Física en Santiago de Cali.</t>
  </si>
  <si>
    <t>BP26002562</t>
  </si>
  <si>
    <t>BP2600256210101</t>
  </si>
  <si>
    <t>Desarrollar 1 investigación sobre deporte, recreación y actividad física en Santiago de Cali</t>
  </si>
  <si>
    <t xml:space="preserve">Verificaciones de Riesgos por Fenómenos de Origen Tecnológico, Socio-natural, Natural y Antrópico, realizadas </t>
  </si>
  <si>
    <t>Identificación de factores de riesgo por fenómenos de origen tecnológico, natural, socionatural y antropico en santiago de cali</t>
  </si>
  <si>
    <t>BP26002817</t>
  </si>
  <si>
    <t>Secretaría de Gestión del Riesgo de Emergencias y Desastres</t>
  </si>
  <si>
    <t>BP2600281710101</t>
  </si>
  <si>
    <t>Documentos informes de verificación de riesgo por fenómenos de origen tecnológico, natural, socionatural y antrópico</t>
  </si>
  <si>
    <t>Elaborar  1500 Documentos de investigación   (1500 documentos de verificación de riesgo por fenómenos)</t>
  </si>
  <si>
    <t>Sistema integral de información de la gestión del riesgo, diseñado e implementado bajo Arquitectura empresarial</t>
  </si>
  <si>
    <t xml:space="preserve">Desarrollo e implementación del Sistema Integral de Información de Gestión del riesgo de Santiago de Cali          
          </t>
  </si>
  <si>
    <t>BP26002846</t>
  </si>
  <si>
    <t>BP2600284610101</t>
  </si>
  <si>
    <t>Sistema integral de
información de la
gestión del riesgo,
diseñado e
implementado bajo
arquitectura
empresarial</t>
  </si>
  <si>
    <t>Elaborar 1 Documento de lineamineto tecnicos  ( 1 modelo de operación  del Sistema de
Información de Gestión del
Riesgo de Santiago de Cali  diseñado)</t>
  </si>
  <si>
    <t>Documentos de lineamiento tecnicos  elaborados</t>
  </si>
  <si>
    <t>BP2600284610201</t>
  </si>
  <si>
    <t>Implementar 1 Sistema de Información de Gestión del Riesgo de Santiago de Cali (11 % restante para llevar a cabo  la implementación del Sistema de Información de Gestión del Riesgo)</t>
  </si>
  <si>
    <t>Sistema de
Información de Gestión del
Riesgo  implementados</t>
  </si>
  <si>
    <t>Plan de Gestión del Riesgo de Desastres de Santiago de Cali, Ajustado</t>
  </si>
  <si>
    <t>Fortalecimiento del Plan de Gestión del Riesgo de Desastres y Adaptación al Cambio
Climático para Santiago de Cali</t>
  </si>
  <si>
    <t>BP26004782</t>
  </si>
  <si>
    <t>BP2600478210101</t>
  </si>
  <si>
    <t xml:space="preserve">Plan de Gestión del
Riesgo de Desastres
de Santiago de Cali,
Actualizado
</t>
  </si>
  <si>
    <t>Elaborar 1 Documento de Planeacion ( 1 documento de actualización Plan de Gestión del Riesgo de Desastres )</t>
  </si>
  <si>
    <t>BP2600478210201</t>
  </si>
  <si>
    <t>Asistir 1 Instancia territorial</t>
  </si>
  <si>
    <t>Instancias territoriales asistidas</t>
  </si>
  <si>
    <t>Centro Integral para la Gestión del Riesgo de Emergencias y Desastres, construido</t>
  </si>
  <si>
    <t>Desarrollo del Centro Integral para la Gestión del Riesgo de Desastres en Santiago de
Cali</t>
  </si>
  <si>
    <t>BP26002839</t>
  </si>
  <si>
    <t>BP2600283910101</t>
  </si>
  <si>
    <t xml:space="preserve">Centro Integral para
la Gestión del Riesgo
de Emergencias y
Desastres, Construido
</t>
  </si>
  <si>
    <t>Construir 1 Centro logísticos para la gestión del
riesgo de desastres  ( 39% restante del Centro intregal para la Gestión del riesgo de desastre construido)</t>
  </si>
  <si>
    <t>Centros logísticos
para la gestión del
riesgo de
desastres
construidos</t>
  </si>
  <si>
    <t xml:space="preserve"> Reducción del Riesgo</t>
  </si>
  <si>
    <t xml:space="preserve">Personas fortalecidas en el conocimiento de las buenas prácticas para la gestión del riesgo </t>
  </si>
  <si>
    <t>Desarrollo de una estrategia para la promoción comunitaria de la cultura en gestión del
riesgo de desastres en Santiago de Cali</t>
  </si>
  <si>
    <t>BP26004783</t>
  </si>
  <si>
    <t>BP2600478310101</t>
  </si>
  <si>
    <t>Personas fortalecidas en el conocimiento de las buenas prácticas para la gestión del
riesgo</t>
  </si>
  <si>
    <t xml:space="preserve">Capacitar 300 Personas 
(300 personas capacitadas  en el conocimiento de las buenas practicas para la Gestión del Riesgo </t>
  </si>
  <si>
    <t>Actualización de los planes escolares para la gestión del riesgo de las sedes educativas oficiales de santiago de cali</t>
  </si>
  <si>
    <t>BP26002844</t>
  </si>
  <si>
    <t>BP2600284410101</t>
  </si>
  <si>
    <t>Elaborar 170 Documentos de Planeacion ( 170 documentos de actualización de planes escolares de Gestión del Riesgo)</t>
  </si>
  <si>
    <t>BP2600284410201</t>
  </si>
  <si>
    <t xml:space="preserve">Capacitar 2000 personas
(2000 personas   capacitadas  en el conocimiento de las buenas practicas para la Gestión del Riesgo en la Sedes Educativas  </t>
  </si>
  <si>
    <t xml:space="preserve">Hogares localizados en zonas de riesgo no mitigable por inundaciones reasentados en zonas urbanas y rurales con procesos de concertación y garantía de derechos </t>
  </si>
  <si>
    <t>Prevención de riesgos físicos y sociales para los habitantes de las zonas aledañas al Jarillón del río cauca y lagunas charco azul y el Pondaje Cali</t>
  </si>
  <si>
    <t>BP26002741</t>
  </si>
  <si>
    <t>BP2600274110101</t>
  </si>
  <si>
    <t>Hogares localizados en zonas de riesgo no
mitigable por inundaciones reasentados</t>
  </si>
  <si>
    <t>Atender 400  hogares del Jarillón del Rio Cauca y lagunas Charco Azul y Pondaje</t>
  </si>
  <si>
    <t xml:space="preserve">Número de hogares del Jarillón del Rio Cauca y lagunas Charco Azul y Pondaje reasentados </t>
  </si>
  <si>
    <t>BP2600274110201</t>
  </si>
  <si>
    <t>Implementar una estrategia de monitoreo y control de riesgos asociados al Jarillón del Rio Cauca y las lagunas de Charco Azul y El Pondaje</t>
  </si>
  <si>
    <t xml:space="preserve">Sistemas de Alerta Temprana implementados </t>
  </si>
  <si>
    <t xml:space="preserve">Manejo del Desastre </t>
  </si>
  <si>
    <t xml:space="preserve">Equipos de Primera Respuesta del Consejo Municipal de Gestión del Riesgo, articulados y fortalecidos </t>
  </si>
  <si>
    <t>Mejoramiento de la prestación del servicio publico esencial de gestión integral del riesgo contra incendios,  atención de rescates en todas sus modalidades y calamidades conexas  en el Distrito de Santiago de  Cali</t>
  </si>
  <si>
    <t>BP26003615</t>
  </si>
  <si>
    <t>BP2600361510101</t>
  </si>
  <si>
    <t>Adecuar 11 Estaciones de bomberos</t>
  </si>
  <si>
    <t>Estaciones bomberiles con mantenimiento en planta física recuperados</t>
  </si>
  <si>
    <t>BP2600361510201</t>
  </si>
  <si>
    <t>Equipos de Primera Respuesta del Consejo
Municipal de Gestión del Riesgo, articulados
y fortalecidos</t>
  </si>
  <si>
    <t>Prestar 1  servicio de atención a emergencias y desastres</t>
  </si>
  <si>
    <t>Emergencias y desastres atendidas</t>
  </si>
  <si>
    <t>Asistencia al sistema nacional de gestión del riesgo de desastres de santiago de cali</t>
  </si>
  <si>
    <t>BP26002842</t>
  </si>
  <si>
    <t>BP2600284210101</t>
  </si>
  <si>
    <t>Fortalecer 2 Organismo de atención de emergencias</t>
  </si>
  <si>
    <t>Organismos de atención de emergencias fortalecidos</t>
  </si>
  <si>
    <t xml:space="preserve">Estrategia de Respuesta a Emergencias, actualizada </t>
  </si>
  <si>
    <t xml:space="preserve">Consolidación de los Mecanismos de Respuesta y Manejo de Desastres en Santiago de
Cali </t>
  </si>
  <si>
    <t>BP26004314</t>
  </si>
  <si>
    <t xml:space="preserve">Mejoramiento de los mecanismos de respuesta y manejo de desastres en santiago de cali </t>
  </si>
  <si>
    <t>BP2600431410101</t>
  </si>
  <si>
    <t>Estrategia de Respuesta a Emergencias y
Desastres implementada</t>
  </si>
  <si>
    <t>Elaborar 1 Documento de Planeacion  (1 documento de planes de contigencias implementados)</t>
  </si>
  <si>
    <t xml:space="preserve">Sistema de Alertas Tempranas Integrado bajo arquitectura empresarial </t>
  </si>
  <si>
    <t xml:space="preserve">Fortalecimiento del Sistema de Alertas Tempranas, Inteligentes y Comunitarias de
Santiago de Calii </t>
  </si>
  <si>
    <t>BP26004795</t>
  </si>
  <si>
    <t>BP2600479510101</t>
  </si>
  <si>
    <t>capacitar 1900 personas 
(1900 personas  capacitadas en la ubicación e implementación del Sistema de Alertas Tempranas )</t>
  </si>
  <si>
    <t xml:space="preserve">Personas Capacitadas </t>
  </si>
  <si>
    <t>BP2600479510201</t>
  </si>
  <si>
    <t xml:space="preserve">Sistema de alertas tempranas integrado bajo arquitectura empresarial </t>
  </si>
  <si>
    <t>Implementar 1 Sistema de Alerta Temprana  ( este producto aporta un 17 % restante en la implementación del sistema de alertas tempranas)</t>
  </si>
  <si>
    <t>Sistemas de Alerta Temprana implementados</t>
  </si>
  <si>
    <t>BP2600479510301</t>
  </si>
  <si>
    <t>Actualizar 1 Sistema de información</t>
  </si>
  <si>
    <t>Política pública de Derechos Humanos formulada, aprobada y  adoptada</t>
  </si>
  <si>
    <t>Consolidación de una Política pública de Derechos Humanos en Santiago de Cali</t>
  </si>
  <si>
    <t>BP26002628</t>
  </si>
  <si>
    <t>BP2600262810101</t>
  </si>
  <si>
    <t xml:space="preserve">Elaborar  una  implementación de la estrategia de cultura en derechos humanos </t>
  </si>
  <si>
    <t>Instrumentos para la implementación de la estrategia de cultura en derechos humanos elaborados</t>
  </si>
  <si>
    <t>BP2600262810102</t>
  </si>
  <si>
    <t>Socializar a 250 personas en temas de derechos humanos</t>
  </si>
  <si>
    <t>BP2600262810201</t>
  </si>
  <si>
    <t xml:space="preserve">Brindar asistencia técnica a 2 entidades territoriales  </t>
  </si>
  <si>
    <t xml:space="preserve">Niños, niñas, adolescentes y jóvenes sensibilizados para la prevención de los delitos de desaparición, trata, reclutamiento forzado, uso y utilización de menores </t>
  </si>
  <si>
    <t>Fortalecimiento de las acciones de prevención de las vulneraciones y/o violaciones a los derechos humanos en NNAJ  en Santiago de  Cali</t>
  </si>
  <si>
    <t>BP26002673</t>
  </si>
  <si>
    <t>BP2600267310101</t>
  </si>
  <si>
    <t>Realizar  un documento metodológico en la promoción de derechos humanos en niños, niñas, adolescentes y jóvenes</t>
  </si>
  <si>
    <t>BP2600267310201</t>
  </si>
  <si>
    <t xml:space="preserve">Capacitar a 1000 personas NNAJ en promoción de derechos humanos y en prevención de sus vulneraciones y/o violaciones </t>
  </si>
  <si>
    <t>Personas que participan en la promoción y protección de Derechos Humanos, la naturaleza, los seres sintientes y la prevención de sus vulneraciones</t>
  </si>
  <si>
    <t>Fortalecimiento de la cultura de derechos humanos, de la naturaleza y seres sintientes, su protección y prevención de las vulneraciones y/o violaciones en Santiago de   Cali</t>
  </si>
  <si>
    <t>BP26002782</t>
  </si>
  <si>
    <t>BP2600278210101</t>
  </si>
  <si>
    <t>Implementar 4 estrategias de promoción de la garantía de derechos humanos, de la naturaleza yseres
sintientes</t>
  </si>
  <si>
    <t>BP2600278210102</t>
  </si>
  <si>
    <t>Promover 1 espacio de participación ciudadana</t>
  </si>
  <si>
    <t>BP2600278210201</t>
  </si>
  <si>
    <t>Personas que participan de la estrategia de derechos humanos y prevención de la trata de personas</t>
  </si>
  <si>
    <t>BP2600278210202</t>
  </si>
  <si>
    <t>Realizar un documento metodológico en la prevención de los riesgos de vulneración y/o violación a los derechos</t>
  </si>
  <si>
    <t>Documento metodológico realizado</t>
  </si>
  <si>
    <t>BP2600278210203</t>
  </si>
  <si>
    <t>Generar 2 espacios de integración de oferta pública</t>
  </si>
  <si>
    <t xml:space="preserve">Espacios de diálogo, reconciliación, construcción de paz y Cuidado de la Casa Común creados </t>
  </si>
  <si>
    <t>Fortalecimiento en procesos de diálogos, mediación de conflictos y prevención de  vulneración de  derechos  humanos en Santiago de   Cali</t>
  </si>
  <si>
    <t>BP26003869</t>
  </si>
  <si>
    <t>BP2600386910101</t>
  </si>
  <si>
    <t>Promover 72 espacios de participación de diálogo, reconciliación, construcción de paz y Cuidado de la Casa Común</t>
  </si>
  <si>
    <t>BP2600386910201</t>
  </si>
  <si>
    <t>Implementar 1 estrategias de promoción de la garantía de derechos humanos</t>
  </si>
  <si>
    <t>BP2600386910301</t>
  </si>
  <si>
    <t>Asistir y apoyar 1 Instancia territorial de coordinación institucional ante situaciones conflictivas complejas</t>
  </si>
  <si>
    <t>Personas en proceso de reincorporación, reintegración, desvinculados del conflicto armado con orientación social, política y comunitaria</t>
  </si>
  <si>
    <t>Fortalecimiento de escenarios y oportunidades sociales, políticas y comunitarias que faciliten los procesos de reincorporación, reintegración y reconciliación en Santiago de Cali</t>
  </si>
  <si>
    <t>BP26002631</t>
  </si>
  <si>
    <t>BP2600263110101</t>
  </si>
  <si>
    <t>BP2600263110102</t>
  </si>
  <si>
    <t>Personas en proceso de reincorporación,
reintegración, desvinculados del conflicto
armado con orientación social, política y
comunitaria</t>
  </si>
  <si>
    <t>Capacitar 300 personas en proceso de reincorporación,
reintegración, desvinculados del conflicto
armado con orientación social, política y
comunitaria</t>
  </si>
  <si>
    <t>BP2600263110201</t>
  </si>
  <si>
    <t>BP2600263110202</t>
  </si>
  <si>
    <t>Personas beneficiadas de servicios de educación para el trabajo y el desarrollo humano</t>
  </si>
  <si>
    <t>BP2600263110203</t>
  </si>
  <si>
    <t>Museo de la Casa de las Memorias del Conflicto y la Reconciliación adecuado, equipado y en operación en el territorio</t>
  </si>
  <si>
    <t>Fortalecimiento del museo de la casa de las memorias del conflicto y la reconciliación de Santiago de   Cali</t>
  </si>
  <si>
    <t>BP26002781</t>
  </si>
  <si>
    <t>BP2600278110101</t>
  </si>
  <si>
    <t>Adecuar una infraestructura de la casa de las memorias en la promoción a la cultura de la legaliad y la convivencia</t>
  </si>
  <si>
    <t>BP2600278110201</t>
  </si>
  <si>
    <t>Documento de lineamientos técnicos realizados</t>
  </si>
  <si>
    <t>BP2600278110202</t>
  </si>
  <si>
    <t>Implementar 2 iniciativas en la promoción de la convivencia</t>
  </si>
  <si>
    <t xml:space="preserve">Plan de paz y convivencia pacífica implementado </t>
  </si>
  <si>
    <t>Desarrollo de acciones para la implementación del plan de paz y cultura ciudadana en Santiago de Cali</t>
  </si>
  <si>
    <t>BP26002750</t>
  </si>
  <si>
    <t>BP2600275010101</t>
  </si>
  <si>
    <t>BP2600275010201</t>
  </si>
  <si>
    <t>Iniciativas de justicia comunitaria para la prevención y transformación de conflictos, implementadas</t>
  </si>
  <si>
    <t>Contribución a la implementación de la justicia de paz como mecanismo de resolución alternativa de conflictos en Santiago de Cali</t>
  </si>
  <si>
    <t>BP26002641</t>
  </si>
  <si>
    <t>BP2600264110101</t>
  </si>
  <si>
    <t xml:space="preserve">Iniciativas de Justicia Comunitaria para la
prevención y transformación de conflictos,
implementadas
</t>
  </si>
  <si>
    <t>Ejecutar 2 campañas de divulgacion de Justicia comunitaria en la
prevención y transformación de conflictos</t>
  </si>
  <si>
    <t>BP2600264110201</t>
  </si>
  <si>
    <t>Compromisos suscritos</t>
  </si>
  <si>
    <t xml:space="preserve">Plan distrital de reincorporación y reconciliación con enfoque de género y diferencial formulado e implementado </t>
  </si>
  <si>
    <t>Desarrollo e implementación del plan distrital de reincorporación y reconciliación con enfoque de género y diferencial en la ciudad de Santiago de   Cali</t>
  </si>
  <si>
    <t xml:space="preserve">BP26002657 </t>
  </si>
  <si>
    <t>BP2600265710101</t>
  </si>
  <si>
    <t>Implementar 8 estrategias de promoción de la garantía de derechos</t>
  </si>
  <si>
    <t>BP2600265710102</t>
  </si>
  <si>
    <t>BP2600265710103</t>
  </si>
  <si>
    <t>Generar 3 espacios de integración de oferta pública</t>
  </si>
  <si>
    <t>BP2600265710201</t>
  </si>
  <si>
    <t>Promover 7 espacios de participación</t>
  </si>
  <si>
    <t>Iniciativas institucionales de prevención y promoción de la vulneración de derechos humanos en salud y en salud mental creadas</t>
  </si>
  <si>
    <t>Desarrollo de Iniciativas institucionales de prevención y promoción de la vulneración de Derechos Humanos en Salud y en Salud Mental en Santiago de Cali</t>
  </si>
  <si>
    <t>BP26002751</t>
  </si>
  <si>
    <t>BP2600275110101</t>
  </si>
  <si>
    <t>BP2600275110201</t>
  </si>
  <si>
    <t>Iniciativas intitucionales de prevención y promoción de la vulneración de derechos
humanos en Salud y en salud mental creadas</t>
  </si>
  <si>
    <t>BP2600275110301</t>
  </si>
  <si>
    <t>Red de defensoras y defensores populares de DDHH y construcción de paz urbana implementada</t>
  </si>
  <si>
    <t>Conformación de la Red de Defensores y Defensoras Populares de Derechos Humanos para la construcción de Paz Urbana de Santiago de Cali.</t>
  </si>
  <si>
    <t>BP26002739</t>
  </si>
  <si>
    <t>BP2600273910101</t>
  </si>
  <si>
    <t xml:space="preserve">Capacitar 60 personas sobre derechos humanos y derecho internacional humanitario con defensores y defensoras de derechos humanos  </t>
  </si>
  <si>
    <t>BP2600273910201</t>
  </si>
  <si>
    <t>Red de defensoras y defensores populares
de DDHH y construcción de paz urbana
implementada</t>
  </si>
  <si>
    <t>Realizar  un documento tecnico en prevención ante las vulneraciones de Derechos Humanos de defensores y defensoras populares de Derechos Humanos y Construcción de Paz</t>
  </si>
  <si>
    <t>Fortalecimiento de la atención diferencial ante la feminización de las vulneraciones de derechos humanos y el derecho internacional humanitario a lideresas sociales en la ciudad de Santiago de   Cali</t>
  </si>
  <si>
    <t>BP26002983</t>
  </si>
  <si>
    <t>BP2600298310101</t>
  </si>
  <si>
    <t xml:space="preserve">Iniciativas de prevención, promoción y protección ante la feminización de la vulneración de los Derechos Humanos y del DIH, desarrolladas </t>
  </si>
  <si>
    <t>BP2600298310201</t>
  </si>
  <si>
    <t>Brindar protección a 20 personas en riesgo extraordinario y extremo</t>
  </si>
  <si>
    <t xml:space="preserve">Política pública de paz y reconciliación, adoptada </t>
  </si>
  <si>
    <t>Fortalecimiento de la cohesión social  y prevención de la violencia social a través de la adopción de la política pública de paz y reconciliación en la ciudad de Cali</t>
  </si>
  <si>
    <t>BP26002636</t>
  </si>
  <si>
    <t>BP2600263610101</t>
  </si>
  <si>
    <t>Realizar un documento de lineamientos técnicos de la Política Pública</t>
  </si>
  <si>
    <t>Documento de lineamientos técnicos realizado</t>
  </si>
  <si>
    <t>BP2600263610201</t>
  </si>
  <si>
    <t>Promover 7 espacios de participación, ciudadana, diálogo y concertación para la construcción de paz y la reconciliación</t>
  </si>
  <si>
    <t xml:space="preserve">Ruta para la protección de las violencias individuales y colectivas contra líderes y lideresas de procesos, organizaciones y movimientos sociales </t>
  </si>
  <si>
    <t>Formulación de una ruta para la protección de violencias individuales y colectivas en contra de los líderes y lideresas de procesos, organizaciones y movimientos sociales de Santiago de   Cali</t>
  </si>
  <si>
    <t>BP26002633</t>
  </si>
  <si>
    <t>BP2600263310101</t>
  </si>
  <si>
    <t>BP2600263310102</t>
  </si>
  <si>
    <t>Realizar un documento técnico de apoyo a la Ruta para la protección de las violencias</t>
  </si>
  <si>
    <t>BP2600263310103</t>
  </si>
  <si>
    <t>Implementar una estrategias de promoción de la garantía de derechos humanos</t>
  </si>
  <si>
    <t>BP2600263310201</t>
  </si>
  <si>
    <t>Capacittar 200 personas en prevención, promoción y protección de Derechos Humanos</t>
  </si>
  <si>
    <t>Espacios intersectoriales e interinstitucionales coordinados en estrategias de corresponsabilidad y cooperación en la consolidación de la paz territorial junto con líderes territoriales</t>
  </si>
  <si>
    <t>Fortalecimiento de estrategias de corresponsabilidad para la vida, la paz y la cultura ciudadana en Santiago de Cali</t>
  </si>
  <si>
    <t>BP26002662</t>
  </si>
  <si>
    <t>BP2600266210101</t>
  </si>
  <si>
    <t>Espacios intersectoriales e
interinstitucionales coordinados en
estrategias de corresponsabilidad y
cooperación en la consolidación de la paz
territorial junto con líderes territoriales</t>
  </si>
  <si>
    <t>BP2600266210201</t>
  </si>
  <si>
    <t>Generar 2 espacios de actores y corresponsables locales, nacionales e internacionales en los procesos de integracion institucional</t>
  </si>
  <si>
    <t xml:space="preserve">Instituciones Educativas Oficiales que fortalecen estrategias distritales en educación para la paz y gestión dialógica del conflicto  </t>
  </si>
  <si>
    <t>Fortalecimiento de las instituciones educativas oficiales  en estrategias de educación para la paz y gestión dialógica del conflicto en  Santiago de   Cali</t>
  </si>
  <si>
    <t>BP26002982</t>
  </si>
  <si>
    <t>BP2600298210101</t>
  </si>
  <si>
    <t>BP2600298210201</t>
  </si>
  <si>
    <t>Política Pública de Barrismo Social formulada, aprobada y socializada, articulada con la ley 1445 de 2011</t>
  </si>
  <si>
    <t>Fortalecimiento de las acciones  de formulación  y socialización de la política publica del barrismo social en Santiago de Cali.</t>
  </si>
  <si>
    <t>BP26004155</t>
  </si>
  <si>
    <t>BP2600415510101</t>
  </si>
  <si>
    <t>Realizar el documento Política Pública de Barrismo Social formulada, aprobada y socializada, articulada con la ley 1445 de 2011</t>
  </si>
  <si>
    <t>Documentos de lineamientos técnicos Realizados</t>
  </si>
  <si>
    <t>BP2600415510201</t>
  </si>
  <si>
    <t>Promover 25 espacios de participación</t>
  </si>
  <si>
    <t>Estrategias encaminadas a promover una cultura de paz interespecie y disminuir la violencia hacia los animales no humanos</t>
  </si>
  <si>
    <t>Incorporación  de la cultura de paz interespecie y de protección ambiental en Santiago de   Cali</t>
  </si>
  <si>
    <t>BP26002643</t>
  </si>
  <si>
    <t>BP2600264310101</t>
  </si>
  <si>
    <t>Capacitar a 515 personas en estrategias de cultura ciudadana que desincentiven el uso de los animales no humanos como recurso</t>
  </si>
  <si>
    <t>BP2600264310102</t>
  </si>
  <si>
    <t>Implementar 1 estrategias de promoción de una cultura de paz interespecie y disminuir la violencia hacia los animales no humanos</t>
  </si>
  <si>
    <t>Estrategias de promoción implementadas</t>
  </si>
  <si>
    <t>BP2600264310202</t>
  </si>
  <si>
    <t>Generar un especicio de integración de oferta pública</t>
  </si>
  <si>
    <t>Cali, gobierno incluyente</t>
  </si>
  <si>
    <t xml:space="preserve"> Fortalecimiento Institucional</t>
  </si>
  <si>
    <t>Líneas de servicios certificadas del proceso Gestión de Paz y Cultura Ciudadana bajo la norma técnica de gestión de Calidad ISO 9001:2015</t>
  </si>
  <si>
    <t>Fortalecimiento de la gestión institucional por resultados basada en el modelo integrado de planeación y gestión de Santiago de Cali</t>
  </si>
  <si>
    <t>BP26002956</t>
  </si>
  <si>
    <t>BP2600295610101</t>
  </si>
  <si>
    <t>BP2600295610201</t>
  </si>
  <si>
    <t xml:space="preserve">Investigaciones cuantitativa y cualitativa en temas de paz, cultura ciudadana, respeto por la casa común y otros seres sintientes, derechos humanos y acuerdo de paz realizadas </t>
  </si>
  <si>
    <t xml:space="preserve">Formulación de investigaciones para paz, cultura ciudadana, respeto por la casa común y otros seres sintientes, derechos humanos y acuerdo de paz en Santiago de Cali </t>
  </si>
  <si>
    <t>BP26002674</t>
  </si>
  <si>
    <t>BP2600267410101</t>
  </si>
  <si>
    <t>Documento de investigación elaborado</t>
  </si>
  <si>
    <t>BP2600267410201</t>
  </si>
  <si>
    <t>Implementar un sistema de información</t>
  </si>
  <si>
    <t>Cidadanía activa y gobernanza</t>
  </si>
  <si>
    <t>Política Pública de Cultura Ciudadana formulada, aprobada y socializada</t>
  </si>
  <si>
    <t>Fortalecimiento de las acciones de intervención en la Cultura Ciudadana  de Santiago de Cali</t>
  </si>
  <si>
    <t>BP26002568</t>
  </si>
  <si>
    <t>BP2600256810101</t>
  </si>
  <si>
    <t>Formular un documento de lineamientos técnicos de la Política Pública de Cultura Ciudadana</t>
  </si>
  <si>
    <t>BP2600256810201</t>
  </si>
  <si>
    <t>Personas formadas en cultura ciudadana para la paz, la convivencia y la reconciliación</t>
  </si>
  <si>
    <t>Formación de capacidades para resolver los conflictos del hogar y de convivencia ciudadana pacíficamente en la ciudad de Santiago  Cali</t>
  </si>
  <si>
    <t>BP26002635</t>
  </si>
  <si>
    <t>BP2600263510101</t>
  </si>
  <si>
    <t>Atender 100 familias en pautas de crianza con perspectiva de género y reconciliación</t>
  </si>
  <si>
    <t>BP2600263510102</t>
  </si>
  <si>
    <t>Atender a 500 niños, niñas, adolescentes y jóvenes con servicio de protección en el restablecimiento de derechos</t>
  </si>
  <si>
    <t>BP2600263510201</t>
  </si>
  <si>
    <t>Capacitar a 300 personas en interiorización y utilización de herramientas en la resolución pacífica en los conflictos cotidianos</t>
  </si>
  <si>
    <t>BP2600263510301</t>
  </si>
  <si>
    <t>Ejecutar 5 acciones con las comunidades</t>
  </si>
  <si>
    <t>Formación en convivencia escolar y competencias ciudadanas en Santiago de  Cali</t>
  </si>
  <si>
    <t>BP26002639</t>
  </si>
  <si>
    <t>BP2600263910101</t>
  </si>
  <si>
    <t>Capacitar a 1800 personas en habilidades en convivencia escolar y competencias ciudadanas</t>
  </si>
  <si>
    <t>BP2600263910201</t>
  </si>
  <si>
    <t>Implementar 11 Iniciativas en la promoción de la convivencia</t>
  </si>
  <si>
    <t>Iniciativas institucionales y comunitarias en cultura ciudadana y promoción de nuevas normalidades apoyadas.</t>
  </si>
  <si>
    <t>Fortalecimiento de iniciativas institucionales y comunitarias para la construcción de cultura ciudadana y paz en Santiago de   Cali</t>
  </si>
  <si>
    <t>BP26002646</t>
  </si>
  <si>
    <t>BP2600264610101</t>
  </si>
  <si>
    <t>Realizar un documento de lineamientos técnicos en iniciativas en buenas prácticas de cultura ciudadana y de construcción de paz.</t>
  </si>
  <si>
    <t>BP2600264610201</t>
  </si>
  <si>
    <t>Espacios de participación promovidos.</t>
  </si>
  <si>
    <t>Implementación de estrategias de Cultura Ciudadana en el cuidado de la vida y la adaptación a nuevos contextos sociales en Santiago de Cali</t>
  </si>
  <si>
    <t>BP26003866</t>
  </si>
  <si>
    <t>BP2600386610301</t>
  </si>
  <si>
    <t>BP2600386610201</t>
  </si>
  <si>
    <t>BP2600386610101</t>
  </si>
  <si>
    <t>Colectivos Urbanos y rurales de cultura ciudadana y construcción de Paz apoyados y promovidos</t>
  </si>
  <si>
    <t xml:space="preserve">Fortalecimiento de la cultura ciudadana y las narrativas de paz, desde el arte en los colectivos urbanos y rurales de Santiago de Cali. </t>
  </si>
  <si>
    <t>BP26002561</t>
  </si>
  <si>
    <t>BP2600256110101</t>
  </si>
  <si>
    <t>Capacitar 760 personas que Promueven colectivos Urbanos y rurales de cultura ciudadana y construcción de Paz</t>
  </si>
  <si>
    <t>BP2600256110201</t>
  </si>
  <si>
    <t>Promover un espacio de participacion</t>
  </si>
  <si>
    <t>Espacios de participacion promovidos</t>
  </si>
  <si>
    <t>Iniciativas institucionales de promoción a la caleñidad implementadas</t>
  </si>
  <si>
    <t>Fortalecimiento de los procesos de identidad caleña en la cultura de Santiago de Cali</t>
  </si>
  <si>
    <t>BP26002634</t>
  </si>
  <si>
    <t>BP2600263410101</t>
  </si>
  <si>
    <t>BP2600263410201</t>
  </si>
  <si>
    <t>Espacios de participación Promovidos</t>
  </si>
  <si>
    <t>Encuentros ciudadanos de sensibilización en temas de cultura ciudadana realizados</t>
  </si>
  <si>
    <t>Fortalecimiento de la participación de las diferentes expresiones de la diversidad cultural presentes en la construcción de la Cultura Ciudadanía de Santiago  de  Cali</t>
  </si>
  <si>
    <t>BP26002644</t>
  </si>
  <si>
    <t>BP2600264410101</t>
  </si>
  <si>
    <t>Documentos metodológico realizados</t>
  </si>
  <si>
    <t>BP2600264410102</t>
  </si>
  <si>
    <t>BP2600264410201</t>
  </si>
  <si>
    <t>Promover 5 espacios de partipación en acciones que promueven o expresan la diversidad en sus distintas manifestaciones</t>
  </si>
  <si>
    <t xml:space="preserve">
Espacios de participación promovidos</t>
  </si>
  <si>
    <t xml:space="preserve">Ejecucion  fisica </t>
  </si>
  <si>
    <t xml:space="preserve">Ejecucion  fisica  en  cero </t>
  </si>
  <si>
    <t>51</t>
  </si>
  <si>
    <t>Actores oferentes de capacidades TIC formados y activos en la plataforma</t>
  </si>
  <si>
    <t>Optimización del capital humano capacitado en Tecnologías de la Cuarta Revolución Industrial en la ciudad de Santiago de Cali</t>
  </si>
  <si>
    <t>BP26003402</t>
  </si>
  <si>
    <t>Secretaría de Desarrollo Económico-Subsecretaría de Cadenas de Valor</t>
  </si>
  <si>
    <t>BP2600340210101</t>
  </si>
  <si>
    <t>Actores oferentes de capacidades TIC
formados y activos en la plataforma</t>
  </si>
  <si>
    <t>Capacitar (200) personas  en educación informal para aumentar la calidad y cantidad de talento humano para la industria TI</t>
  </si>
  <si>
    <t>BP2600340210201</t>
  </si>
  <si>
    <t>Realizar (1) documento de evaluación</t>
  </si>
  <si>
    <t>Documentos de evaluación realizados</t>
  </si>
  <si>
    <t>Laboratorios de innovación y emprendimientos en artes digitales desarrollados</t>
  </si>
  <si>
    <t>Construcción y dotación del Parque Tecnológico de Innovación San Fernando en Santiago de Cali</t>
  </si>
  <si>
    <t>BP26004119</t>
  </si>
  <si>
    <t>BP2600411910101</t>
  </si>
  <si>
    <t>Incrementar los niveles de alfabetización digital</t>
  </si>
  <si>
    <t>Construir y dotar (2) centros de ciencia</t>
  </si>
  <si>
    <t>Centros de Ciencia construidos y dotados</t>
  </si>
  <si>
    <t>Emprendimientos y empresas de la industria cultural y creativa de Cali beneficiados con asistencia técnica</t>
  </si>
  <si>
    <t>Asistencia técnica a empresas y emprendimientos de la industria cultural y creativa en Santiago de Cali</t>
  </si>
  <si>
    <t>BP26003071</t>
  </si>
  <si>
    <t>BP2600307110101</t>
  </si>
  <si>
    <t>Emprendimientos y empresas de la industria
cultural y creativa fortalecidos con asistencia
técnica</t>
  </si>
  <si>
    <t>Formar (75) personas en capital humano pertinente para el desarrollo empresarial de los territorios</t>
  </si>
  <si>
    <t xml:space="preserve">Personas formadas en habilidades y competencias </t>
  </si>
  <si>
    <t>BP2600307110201</t>
  </si>
  <si>
    <t>Asistir técnicamente (105) Mipymes para el acceso a nuevos mercados</t>
  </si>
  <si>
    <t>Empresas asistidas técnicamente</t>
  </si>
  <si>
    <t>Fortalecimiento empresarial a las unidades productivas y microempresas del sector cultural y creativo del corregimiento Andes de Santiago de Cali</t>
  </si>
  <si>
    <t>BP26004950</t>
  </si>
  <si>
    <t>BP2600495010101</t>
  </si>
  <si>
    <t>Personas emprendedoras incluidas al Ecosistema de Emprendimiento Empresarial de  Santiago de Cali</t>
  </si>
  <si>
    <t>Beneficiar a (100) personas, a traves de servicios de asistencia técnica y acompañamiento productivo y empresarial</t>
  </si>
  <si>
    <t>Proyectos de inversión nacional y extranjera para el sector fílmico apoyados</t>
  </si>
  <si>
    <t>Producción cinematográfica y audiovisual competitiva en Santiago de Cali</t>
  </si>
  <si>
    <t>BP26003084</t>
  </si>
  <si>
    <t>BP2600308410101</t>
  </si>
  <si>
    <t>Número de proyectos de producción cinematográfica realizados en la ciudad de Cali</t>
  </si>
  <si>
    <t>Apoyar (6) procesos de formación artística y cultura</t>
  </si>
  <si>
    <t>BP2600308410201</t>
  </si>
  <si>
    <t>Beneficiar financieramente (6) producciones y coproducciones cinematográficas</t>
  </si>
  <si>
    <t>Producciones beneficiadas</t>
  </si>
  <si>
    <t>BP2600308410301</t>
  </si>
  <si>
    <t>Promocionar  a Colombia en  (2) eventos como escenario de rodaje de películas</t>
  </si>
  <si>
    <t>Eventos atendidos</t>
  </si>
  <si>
    <t xml:space="preserve">Territorios competitivos </t>
  </si>
  <si>
    <t>Pequeñas empresas conectadas y vinculadas comercialmente con empresas líderes de sectores productivos</t>
  </si>
  <si>
    <t>Implementación de una estrategia de encadenamientos productivos en la ciudad de Cali</t>
  </si>
  <si>
    <t>BP26002737</t>
  </si>
  <si>
    <t>BP2600273710101</t>
  </si>
  <si>
    <t>Mipymes y/o emprendimientos fortalecidos en capacidades comerciales</t>
  </si>
  <si>
    <t>Elaborar (1) documento de lineamientos técnicos</t>
  </si>
  <si>
    <t>BP2600273710201</t>
  </si>
  <si>
    <t>Asistir tecnicamente (50) Mipymes para el acceso a nuevos mercados</t>
  </si>
  <si>
    <t>Alianzas estratégicas implementadas para la promoción de la ciudad a nivel nacional e internacional</t>
  </si>
  <si>
    <t>Fortalecimiento a la promoción y atracción de inversión a nivel nacional e internacional de Santiago de Cali</t>
  </si>
  <si>
    <t>BP26004335</t>
  </si>
  <si>
    <t>Secretaría de Desarrollo Económico-Subsecretaría de Servicios Productivos y Comercio Colaborativo</t>
  </si>
  <si>
    <t>BP2600433510101</t>
  </si>
  <si>
    <t xml:space="preserve">Elaborar (1) documento de lineamientos técnicos </t>
  </si>
  <si>
    <t xml:space="preserve">Personas formadas en competencias laborales para la inserción en los sectores de mayor demanda del mercado laboral, con enfoque diferencial, de género y generacional </t>
  </si>
  <si>
    <t>Fortalecimiento de competencias laborales con enfoque diferencial, de género y generacional para los habitantes de la comuna 12 de Santiago de Cali</t>
  </si>
  <si>
    <t>BP26004927</t>
  </si>
  <si>
    <t>BP2600492710101</t>
  </si>
  <si>
    <t>Realizar (1) documento de lineamientos técnicos</t>
  </si>
  <si>
    <t>Documentos de lineamiento técnicos realizados</t>
  </si>
  <si>
    <t>BP2600492710201</t>
  </si>
  <si>
    <t>Personas desempleadas vinculadas a estrategia de inclusión laboral</t>
  </si>
  <si>
    <t>Formar (180) personas para el trabajo en competencias para la inserción laboral</t>
  </si>
  <si>
    <t>Servicio de formación para el trabajo en competencias para la inserción laboral</t>
  </si>
  <si>
    <t>Fortalecimiento de competencias laborales con enfoque diferencial, de género y generacional en la comuna 20 de Santiago de Cali</t>
  </si>
  <si>
    <t>BP26004994</t>
  </si>
  <si>
    <t>BP2600499410101</t>
  </si>
  <si>
    <t>BP2600499410201</t>
  </si>
  <si>
    <t>Formar (150) personas Indígenas para el trabajo en competencias para la inserción laboral</t>
  </si>
  <si>
    <t>Personas formadas</t>
  </si>
  <si>
    <t>Personas vinculadas a rutas para la inserción laboral</t>
  </si>
  <si>
    <t>Desarrollo de rutas de acercamiento entre la oferta y la demanda laboral a personas desempleadas en Santiago de Cali</t>
  </si>
  <si>
    <t>BP26003140</t>
  </si>
  <si>
    <t>BP2600314010101</t>
  </si>
  <si>
    <t>BP2600314010201</t>
  </si>
  <si>
    <t>Personas desempleadas vinculadas a rutas de inclusión laboral</t>
  </si>
  <si>
    <t>Asistir tecnicamente (2000) personas para el trabajo decente</t>
  </si>
  <si>
    <t>BP2600314010301</t>
  </si>
  <si>
    <t>Realizar (1) asistencia tecnica para la equidad laboral con enfoque de género</t>
  </si>
  <si>
    <t xml:space="preserve">Víctimas del conflicto armado formadas como técnicos laborales por competencias </t>
  </si>
  <si>
    <t>Desarrollo de competencias como técnicos laborales a víctimas del conflicto armado para la empleabilidad en Santiago de Cali</t>
  </si>
  <si>
    <t>BP26003129</t>
  </si>
  <si>
    <t>BP2600312910101</t>
  </si>
  <si>
    <t>BP2600312910201</t>
  </si>
  <si>
    <t>Víctimas del conflicto armado formadas como técnicos laborales por competencias</t>
  </si>
  <si>
    <t>Formar (100) personas para el trabajo en competencias para la inserción laboral</t>
  </si>
  <si>
    <t>BP2600312910301</t>
  </si>
  <si>
    <t>Realizar (1) estrategia para el fortalecimiento de la política de formación para el trabajo</t>
  </si>
  <si>
    <t>Estrategias realizadas</t>
  </si>
  <si>
    <t>Fortalecimiento al Ecosistema del Emprendimiento Empresarial y Social</t>
  </si>
  <si>
    <t xml:space="preserve">Personas fortalecidas en el ecosistema de emprendimiento empresarial y social con enfoque diferencial y de género </t>
  </si>
  <si>
    <t>Fortalecimiento al ecosistema empresarial y social con enfoque diferencial y de género en Santiago de Cali</t>
  </si>
  <si>
    <t>BP26002967</t>
  </si>
  <si>
    <t>BP2600296710101</t>
  </si>
  <si>
    <t>BP2600296710201</t>
  </si>
  <si>
    <t>Personas fortalecidas en el ecosistema de emprendimiento empresarial y social</t>
  </si>
  <si>
    <t>Asistir tecnicamente (100) emprendedores y/o empresas en edad temprana</t>
  </si>
  <si>
    <t>Fortalecimiento empresarial a las unidades productivas y microempresas de la comuna 18 de Santiago de Cali</t>
  </si>
  <si>
    <t>BP26004991</t>
  </si>
  <si>
    <t>BP2600499110101</t>
  </si>
  <si>
    <t>Beneficiar (130) personas tecnicamente y con acompañamiento productivo y empresarial</t>
  </si>
  <si>
    <t>Fortalecimiento empresarial a las unidades productivas y microempresas de la comuna 10 de Santiago de Cali</t>
  </si>
  <si>
    <t>BP26004945</t>
  </si>
  <si>
    <t>BP2600494510101</t>
  </si>
  <si>
    <t>Beneficiar (210) personas tecnicamente y con acompañamiento productivo y empresarial</t>
  </si>
  <si>
    <t>Fortalecimiento empresarial a las unidades productivas y microempresas de la comuna 13</t>
  </si>
  <si>
    <t>BP26004952</t>
  </si>
  <si>
    <t>BP2600495210101</t>
  </si>
  <si>
    <t>Beneficiar (120) personas tecnicamente y con acompañamiento productivo y empresarial</t>
  </si>
  <si>
    <t>Fortalecimiento empresarial a las unidades productivas y microempresas de la comuna 14 de Santiago de Cali</t>
  </si>
  <si>
    <t>BP26004921</t>
  </si>
  <si>
    <t>BP2600492110101</t>
  </si>
  <si>
    <t>Beneficiar (125) personas tecnicamente y con acompañamiento productivo y empresarial</t>
  </si>
  <si>
    <t>Fortalecimiento empresarial a las unidades productivas y microempresas de la comuna 15</t>
  </si>
  <si>
    <t>BP26004932</t>
  </si>
  <si>
    <t>BP2600493210101</t>
  </si>
  <si>
    <t>Beneficiar (100) personas tecnicamente y con acompañamiento productivo y empresarial</t>
  </si>
  <si>
    <t>Fortalecimiento empresarial a las unidades productivas y microempresas de la comuna 16 de Santiago de Cali</t>
  </si>
  <si>
    <t>BP26004948</t>
  </si>
  <si>
    <t>BP2600494810101</t>
  </si>
  <si>
    <t>Personas emprendedoras incluidas al Ecosistema de Emprendimiento Empresarial de Santiago de Cali</t>
  </si>
  <si>
    <t>Beneficiar (200) personas tecnicamente y con acompañamiento productivo y empresarial</t>
  </si>
  <si>
    <t>Fortalecimiento empresarial a las unidades productivas y microempresas de la comuna 21 de Santiago de Cali</t>
  </si>
  <si>
    <t>BP26004971</t>
  </si>
  <si>
    <t>BP2600497110101</t>
  </si>
  <si>
    <t>Beneficiar (88) personas tecnicamente y con acompañamiento productivo y empresarial</t>
  </si>
  <si>
    <t>Fortalecimiento empresarial a las unidades productivas y microempresas de la comuna 3 de Santiago de Cali</t>
  </si>
  <si>
    <t>BP26004931</t>
  </si>
  <si>
    <t>BP2600493110101</t>
  </si>
  <si>
    <t>Fortalecimiento empresarial a unidades productivas de la comuna 4 de Santiago de Cali</t>
  </si>
  <si>
    <t>BP26004942</t>
  </si>
  <si>
    <t>BP2600494210101</t>
  </si>
  <si>
    <t>Beneficiar (150) personas tecnicamente y con acompañamiento productivo y empresarial</t>
  </si>
  <si>
    <t>Fortalecimiento empresarial a las unidades productivas y microempresas de la comuna 5 de Santiago de Cali</t>
  </si>
  <si>
    <t>BP26004935</t>
  </si>
  <si>
    <t>BP2600493510101</t>
  </si>
  <si>
    <t>Fortalecimiento empresarial a las unidades productivas y microempresas de la comuna 6 de Santiago de Cali</t>
  </si>
  <si>
    <t>BP26004941</t>
  </si>
  <si>
    <t>BP2600494110101</t>
  </si>
  <si>
    <t>Fortalecimiento empresarial a las unidades productivas y microempresas de la comuna 7 de Santiago de Cali</t>
  </si>
  <si>
    <t>BP26004920</t>
  </si>
  <si>
    <t>BP2600492010101</t>
  </si>
  <si>
    <t>Beneficiar (75) personas tecnicamente y con acompañamiento productivo y empresarial</t>
  </si>
  <si>
    <t>Fortalecimiento empresarial a las unidades productivas y microempresas de la comuna 9 de Santiago de Cali</t>
  </si>
  <si>
    <t>BP26004901</t>
  </si>
  <si>
    <t>BP2600490110101</t>
  </si>
  <si>
    <t>Fortalecimiento empresarial a las unidades productivas y microempresas del corregimiento de Felidia de Santiago de Cali</t>
  </si>
  <si>
    <t>BP26004953</t>
  </si>
  <si>
    <t>BP2600495310101</t>
  </si>
  <si>
    <t>Beneficiar (15) personas tecnicamente y con acompañamiento productivo y empresarial</t>
  </si>
  <si>
    <t>Fortalecimiento empresarial a las unidades productivas y microempresas del corregimiento de Golondrinas de Santiago de Cali</t>
  </si>
  <si>
    <t>BP26004951</t>
  </si>
  <si>
    <t>BP2600495110101</t>
  </si>
  <si>
    <t>Beneficiar (60) personas tecnicamente y con acompañamiento productivo y empresarial</t>
  </si>
  <si>
    <t>Fortalecimiento empresarial a las unidades productivas y microempresas del corregimiento de La Buitrera de Santiago de Cali</t>
  </si>
  <si>
    <t>BP26004958</t>
  </si>
  <si>
    <t>BP2600495810101</t>
  </si>
  <si>
    <t>Fortalecimiento empresarial a las unidades productivas y microempresas del corregimiento de Navarro de Santiago de Cali</t>
  </si>
  <si>
    <t>BP26004955</t>
  </si>
  <si>
    <t>BP2600495510101</t>
  </si>
  <si>
    <t>Beneficiar (50) personas tecnicamente y con acompañamiento productivo y empresarial</t>
  </si>
  <si>
    <t>Fortalecimiento empresarial a las unidades productivas y microempresas del corregimiento Pance de Santiago de Cali</t>
  </si>
  <si>
    <t>BP26004947</t>
  </si>
  <si>
    <t>BP2600494710101</t>
  </si>
  <si>
    <t>Centros para el Emprendimiento y Desarrollo Empresarial y Social CEDES, en funcionamiento</t>
  </si>
  <si>
    <t xml:space="preserve">Adecuación de Centros de Desarrollo Empresarial para el fortalecimiento de emprendimientos y/o mipymes en Cali </t>
  </si>
  <si>
    <t>BP26004334</t>
  </si>
  <si>
    <t>BP2600433410101</t>
  </si>
  <si>
    <t>Centros para el Emprendimiento y Desarrollo
Empresarial y Social CEDES, en funcionamiento</t>
  </si>
  <si>
    <t>Mantener (1) Centros de convención</t>
  </si>
  <si>
    <t>Centro de convención mantenido</t>
  </si>
  <si>
    <t xml:space="preserve">Experiencias de fortalecimiento empresarial para mercados competitivos, desarrolladas </t>
  </si>
  <si>
    <t>Fortalecimiento empresarial a las unidades productivas y microempresas de la comuna 17 de Santiago de Cali</t>
  </si>
  <si>
    <t>BP26004978</t>
  </si>
  <si>
    <t>BP2600497810101</t>
  </si>
  <si>
    <t>Unidades productivas y microempresas incluidas en el ecosistema empresarial de santiago de cali</t>
  </si>
  <si>
    <t>Asistir tecnicamente  (190) emprendedores y/o empresas en edad temprana</t>
  </si>
  <si>
    <t>Empresas asistida técnicamente</t>
  </si>
  <si>
    <t>Economía Solidaria, Colaborativa y Fondo de Oportunidades</t>
  </si>
  <si>
    <t>Personas en proceso de reincorporación, reintegración, desvinculados del conflicto armado con acompañamiento productivo para la generación de ingresos</t>
  </si>
  <si>
    <t>Fortalecimiento de estrategias para la generación de ingresos de las personas en proceso de reincorporación, reintegración, desvinculados del conflicto armado de Cali</t>
  </si>
  <si>
    <t>BP26003021</t>
  </si>
  <si>
    <t>BP2600302110101</t>
  </si>
  <si>
    <t>Personas con unidades productivas fortalecidas</t>
  </si>
  <si>
    <t>Beneficiar (15) personas con asistencia tecnica y con acompañamiento productivo y empresarial</t>
  </si>
  <si>
    <t>BP2600302110201</t>
  </si>
  <si>
    <t>Asistir tecnicamente (15) Mipymes para el acceso a nuevos mercados</t>
  </si>
  <si>
    <t>Organizaciones del sector solidario fomentadas y fortalecidas en capacidades técnicas, administrativas y productivas</t>
  </si>
  <si>
    <t>Fortalecimiento para la generación de capacidades de las organizaciones del sector de economía solidaria de Cali</t>
  </si>
  <si>
    <t>BP26003032</t>
  </si>
  <si>
    <t>BP2600303210101</t>
  </si>
  <si>
    <t>Asistir (15) empresas para la formalización empresarial y de productos y/o Servicio</t>
  </si>
  <si>
    <t>Empresas asistidas técnicamente en temas de legalidad y/o formalización</t>
  </si>
  <si>
    <t>BP2600303210201</t>
  </si>
  <si>
    <t>Beneficiar (15) unidades productivas para la transferencia y/o implementación de metodologías de aumento de la productividad</t>
  </si>
  <si>
    <t>Unidades productivas  beneficiadas en la implementación de estrategias para incrementar su productividad</t>
  </si>
  <si>
    <t xml:space="preserve">Unidades productivas fortalecidas con créditos solidarios </t>
  </si>
  <si>
    <t>Fortalecimiento financiero a unidades productivas con créditos solidarios y capital semilla en Santiago de Cali</t>
  </si>
  <si>
    <t>BP26003896</t>
  </si>
  <si>
    <t>Secretaría de Desarrollo Económico-Despacho</t>
  </si>
  <si>
    <t>BP2600389610101</t>
  </si>
  <si>
    <t>Emprendimientos y MiPymes fortalecidos
financieramente</t>
  </si>
  <si>
    <t>Financiar (1000) planes de negocio para la creación de empresas</t>
  </si>
  <si>
    <t>Planes de negocios financiados</t>
  </si>
  <si>
    <t>BP2600389610201</t>
  </si>
  <si>
    <t>Acompañar (1000) planes de negocio</t>
  </si>
  <si>
    <t>Planes de negocio acompañados</t>
  </si>
  <si>
    <t>Mercados agroecológicos y campesinos realizados</t>
  </si>
  <si>
    <t>Mejoramiento comercial de los mercados campesinos con prácticas agrícolas de producción limpia de Santiago de Cali</t>
  </si>
  <si>
    <t>BP26003147</t>
  </si>
  <si>
    <t>BP2600314710101</t>
  </si>
  <si>
    <t>Beneficiar (50) unidades productivas con acompañamiento productivo y empresarial</t>
  </si>
  <si>
    <t>Unidades productivas beneficiadas</t>
  </si>
  <si>
    <t>BP2600314710201</t>
  </si>
  <si>
    <t>Apoyar (5) organizaciones para la comercialización</t>
  </si>
  <si>
    <t>Organizaciones de productores formales apoyadas</t>
  </si>
  <si>
    <t>Sistema de operación de las plazas de mercado diseñado e implementado</t>
  </si>
  <si>
    <t>Fortalecimiento del sistema de operación de las plazas de mercado de Santiago de Cali</t>
  </si>
  <si>
    <t>BP26003149</t>
  </si>
  <si>
    <t>BP2600314910301</t>
  </si>
  <si>
    <t xml:space="preserve">Fortalecer las estructuras administrativas y operativas de las plazas de mercado de Santiago de Cali </t>
  </si>
  <si>
    <t>Elaborar (1) documento normativo</t>
  </si>
  <si>
    <t>Documentos normativo elaborados</t>
  </si>
  <si>
    <t xml:space="preserve">Ecosistema de Innovación “Cali Circular” </t>
  </si>
  <si>
    <t xml:space="preserve">Empresas y emprendimientos fortalecidos en capacidades para el fomento de la economía Circular  </t>
  </si>
  <si>
    <t>Fortalecimiento a las empresas y emprendimientos en capacidades para el fomento de la economía circular en Cali</t>
  </si>
  <si>
    <t>BP26003393</t>
  </si>
  <si>
    <t>BP2600339310101</t>
  </si>
  <si>
    <t>Empresas y emprendimientos fortalecidas en conocimientos, ideas innovadoras y experiencias de economía circular.</t>
  </si>
  <si>
    <t>Asistir tecnicamente (40) empresas para la mitigación y adaptación al cambio climático</t>
  </si>
  <si>
    <t>Empresas asistidas técnicamente para la identificación de medidas de mitigación y adaptación al cambio climático</t>
  </si>
  <si>
    <t>BP2600339310201</t>
  </si>
  <si>
    <t>Intervenir (40) empresas para el fomento de capacidades en economía circular y sostenibilidad</t>
  </si>
  <si>
    <t>Empresas intervenidas en temas de economía circular y sostenibilidad</t>
  </si>
  <si>
    <t>BP2600339310301</t>
  </si>
  <si>
    <t>Asistir técnicamente (40) Mipymes para el acceso a nuevos mercados</t>
  </si>
  <si>
    <t>Fortalecimiento empresarial a las unidades productivas y microempresas de la comuna 19 de Santiago de Cali</t>
  </si>
  <si>
    <t>BP26004906</t>
  </si>
  <si>
    <t>BP2600490610101</t>
  </si>
  <si>
    <t>Asistir tecnicamente (60) Mipymes para el acceso a nuevos mercados</t>
  </si>
  <si>
    <t xml:space="preserve">Líneas de servicios del Proceso Desarrollo Económico certificadas bajo la ISO 9001:2015 </t>
  </si>
  <si>
    <t>Fortalecimiento de los sistemas de gestión de la Secretaría de Desarrollo Económico de Santiago de Cali</t>
  </si>
  <si>
    <t>BP26002915</t>
  </si>
  <si>
    <t>BP2600291510101</t>
  </si>
  <si>
    <t>Requisitos establecidos en el Sistema de Gestión de Calidad implementados, bajo la norma ISO 9001:2015</t>
  </si>
  <si>
    <t>Implementar (1) sistema de Gestión</t>
  </si>
  <si>
    <t>BP2600291510201</t>
  </si>
  <si>
    <t>Implementar (1) sistema de gestión documental</t>
  </si>
  <si>
    <t xml:space="preserve">Investigaciones sobre economía creativa, circular, digital y demás temas conexos al desarrollo del territorio, generadas y publicadas  </t>
  </si>
  <si>
    <t>Investigación sobre los sectores económicos priorizados y temas conexos en la política pública de desarrollo económico en Santiago de Cali</t>
  </si>
  <si>
    <t>BP26002965</t>
  </si>
  <si>
    <t>BP2600296510101</t>
  </si>
  <si>
    <t>Investigaciones sobre economía creativa,
circular, digital y demás temas conexos al
desarrollo del territorio, generadas y
publicadas</t>
  </si>
  <si>
    <t>Elaborar (2) documento de investigación</t>
  </si>
  <si>
    <t>BP2600296510201</t>
  </si>
  <si>
    <t>Elaborar (2) documento de planeación</t>
  </si>
  <si>
    <t>Avance fisico</t>
  </si>
  <si>
    <t>Proyectos con ejecucion 0%</t>
  </si>
  <si>
    <t>Red de puntos información turística operando</t>
  </si>
  <si>
    <t>Fortalecimiento de la operación de los Puntos de Información Turística de Santiago de Cali</t>
  </si>
  <si>
    <t>BP26004750</t>
  </si>
  <si>
    <t xml:space="preserve">Secretaría de Turismo </t>
  </si>
  <si>
    <t>BP2600475010101</t>
  </si>
  <si>
    <t>Red de puntos de informacion turistica operando</t>
  </si>
  <si>
    <t xml:space="preserve">Portales integrados </t>
  </si>
  <si>
    <t>Marca de ciudad para un Distrito Especial</t>
  </si>
  <si>
    <t>Parques de experiencia turística diseñados e implementados</t>
  </si>
  <si>
    <t xml:space="preserve">Apoyo para la consolidación de parques de experiencia en Santiago de Cali </t>
  </si>
  <si>
    <t>BP26004326</t>
  </si>
  <si>
    <t>BP2600432610101</t>
  </si>
  <si>
    <t xml:space="preserve">Parques de experiencia turística diseñados e implementados </t>
  </si>
  <si>
    <t>Estudios de pre inversión</t>
  </si>
  <si>
    <t xml:space="preserve">Estudios de pre inversión realizados </t>
  </si>
  <si>
    <t>BP2600432610102</t>
  </si>
  <si>
    <t>Servicio de apoyo financiero para la competitividad turística</t>
  </si>
  <si>
    <t>Proyectos cofinanciados para la adecuación de la oferta turística</t>
  </si>
  <si>
    <t>Productos Turísticos Desarrollados</t>
  </si>
  <si>
    <t xml:space="preserve">Desarrollo del potencial turístico en el Barrio Obrero de Santiago de Cali </t>
  </si>
  <si>
    <t>BP26004740</t>
  </si>
  <si>
    <t>BP2600474010101</t>
  </si>
  <si>
    <t>Documentos de lineamientos técnicos</t>
  </si>
  <si>
    <t xml:space="preserve">Iniciativas de "Turismo al barrio" y turismo comunitario rural apoyadas </t>
  </si>
  <si>
    <t xml:space="preserve">Implementación de la estrategia de turismo al barrio en la comuna 1 de Santiago de Cali </t>
  </si>
  <si>
    <t>BP26004830</t>
  </si>
  <si>
    <t>BP2600483010101</t>
  </si>
  <si>
    <t xml:space="preserve">Iniciativas de "Turismo al barrio" y turismo Comunitario rural apoyadas </t>
  </si>
  <si>
    <t>Fortalecimiento turístico del Corregimiento de Villacarmelo de Santiago de Cali.</t>
  </si>
  <si>
    <t xml:space="preserve">BP26004831 </t>
  </si>
  <si>
    <t>BP2600483110101</t>
  </si>
  <si>
    <t>Fortalecimiento turístico del Corregimiento de Pichindé de Santiago de Cali</t>
  </si>
  <si>
    <t>BP26004832</t>
  </si>
  <si>
    <t>BP2600483210101</t>
  </si>
  <si>
    <t>Eventos y/o ferias del sector turístico apoyados</t>
  </si>
  <si>
    <t xml:space="preserve">Apoyo para el desarrollo de ferias y eventos con componentes turísticos en Santiago de Cali </t>
  </si>
  <si>
    <t>BP26004324</t>
  </si>
  <si>
    <t>BP2600432410101</t>
  </si>
  <si>
    <t xml:space="preserve">Realizar 3 campañas de promocion para eventos y/o ferias del sector </t>
  </si>
  <si>
    <t>Campañas realilzadas</t>
  </si>
  <si>
    <t xml:space="preserve">Plan de medios, nacional e internacional implementado </t>
  </si>
  <si>
    <t xml:space="preserve">Divulgación en medios de comunicación de la oferta turística de Santiago de Cali </t>
  </si>
  <si>
    <t>BP26004152</t>
  </si>
  <si>
    <t>BP2600415210101</t>
  </si>
  <si>
    <t>Realizar 4 campañas de Plan de medios de promoción turística</t>
  </si>
  <si>
    <t>Campañas Realizadas</t>
  </si>
  <si>
    <t xml:space="preserve">Programa de incentivos y estímulos del sector turístico implementado </t>
  </si>
  <si>
    <t xml:space="preserve">Implementación de un programa de apoyo al sector turístico de Cali
</t>
  </si>
  <si>
    <t>BP-26004742</t>
  </si>
  <si>
    <t>BP2600474210101</t>
  </si>
  <si>
    <t>Implementar 1 servicio de asistencia técnica y acompañamiento productivo y empresarial</t>
  </si>
  <si>
    <t>Secretaria de Turismo</t>
  </si>
  <si>
    <t>BP2600474210102</t>
  </si>
  <si>
    <t>Implementar 1 servicio de educación informal en asuntos turísticos</t>
  </si>
  <si>
    <t xml:space="preserve">Estudios del sector turismo, realizados  </t>
  </si>
  <si>
    <t xml:space="preserve">Desarrollar un sistema de información del sector turístico en Santiago de Cali	</t>
  </si>
  <si>
    <t>BP-26004760</t>
  </si>
  <si>
    <t>BP2600476010101</t>
  </si>
  <si>
    <t>Elaborar 2 documentos de investigación sobre turismo</t>
  </si>
  <si>
    <t>Documentos sobre medición y análisis de información turística realizados</t>
  </si>
  <si>
    <t>Proyectos con ejecución fisica en 0%</t>
  </si>
  <si>
    <t>Intervenciones (mantenimiento correctivo y preventivo) realizadas a sedes comunales, salones comunales, Casetas Comunales</t>
  </si>
  <si>
    <t xml:space="preserve">Mantenimiento  prevencitivo y correctivo a las sedes comunales en Santiago de Cali. </t>
  </si>
  <si>
    <t>BP26003720</t>
  </si>
  <si>
    <t>SDTPC - Subsecretaría de Promoción y Fortalecimiento de la Participación</t>
  </si>
  <si>
    <t>BP2600372020101</t>
  </si>
  <si>
    <t>Realizar mantenimiento a 5 sedes comunales</t>
  </si>
  <si>
    <t>BP2600372020201</t>
  </si>
  <si>
    <t>Elaborar 1 documento técnico de inspección, seguimiento y control a las intervenciones realizadas en sedes comunales de la ciudad</t>
  </si>
  <si>
    <t>Intervenciones (mantenimiento correctivo, preventivo y dotación) realizadas a Centros de Administración Local Integrada</t>
  </si>
  <si>
    <t>Mantenimiento correctivo, preventivo y dotación a los Centros de Administración Local Integrada de Santiago de Cali</t>
  </si>
  <si>
    <t>BP26003721</t>
  </si>
  <si>
    <t>BP2600372120101</t>
  </si>
  <si>
    <t>Realizar mantenimiento y/o dotación a 8  Centros de Administración Local Integrada (C.A.L.I.)</t>
  </si>
  <si>
    <t>Elaborar 1 documento técnico (inspección, seguimiento y control a las intervenciones realizadas).</t>
  </si>
  <si>
    <t>Mantenimiento Correctivo, Preventivo Y Dotacion Del Centro De Administracion Local Integrada De La Comuna 3 De Santiago De Cali</t>
  </si>
  <si>
    <t>BP26004812</t>
  </si>
  <si>
    <t>BP2600481220101</t>
  </si>
  <si>
    <t>Mejorar espacios físicos para el ejercicio de la la participación ciudadana de la Comuna 3</t>
  </si>
  <si>
    <t>Semilleros itinerantes de desarrollo distrital participativo, realizados</t>
  </si>
  <si>
    <t>Desarrollo de semilleros itinerantes de desarrollo distrital participativo en Cali</t>
  </si>
  <si>
    <t>BP26004313</t>
  </si>
  <si>
    <t>SDTPC - Subsecretaría de Territorios de Inclusión y Oportunidades (TIO)</t>
  </si>
  <si>
    <t>BP2600431320102</t>
  </si>
  <si>
    <t xml:space="preserve">
Diseñar  un 1 documento  de planeación (Desarrollo de metodologia para la caracterización de los territorios priorizados)</t>
  </si>
  <si>
    <t>Documentos planeación realizados</t>
  </si>
  <si>
    <t>BP2600431320101</t>
  </si>
  <si>
    <t xml:space="preserve">
Diseñar  un 1 documento metodologíco  (Diseño de acciones metodologicas para la caracterización de territorios priorizados)</t>
  </si>
  <si>
    <t>Documentos metodologico realizados</t>
  </si>
  <si>
    <t>BP2600431320201</t>
  </si>
  <si>
    <t>Promover 5 espacios de participación ciudadana en la formulación de acciones que reduzcan las necesidades insatisfechas en los territorios</t>
  </si>
  <si>
    <t>BP2600431320301</t>
  </si>
  <si>
    <t>Generar 4 espacios de inclusión ciudadana en los territorios en el marco de la implementación de Cali Distrito Especial</t>
  </si>
  <si>
    <t>Proceso de participación ciudadana y gestión comunitaria certificado</t>
  </si>
  <si>
    <t>Fortalecimiento de la planificación estratégica del Proceso de Participación Ciudadana y gestión comunitaria en Santiago de Cali</t>
  </si>
  <si>
    <t>BP26004311</t>
  </si>
  <si>
    <t>SDTPC - Unidad de Apoyo a la Gestión</t>
  </si>
  <si>
    <t>BP2600431120101</t>
  </si>
  <si>
    <t>Diseñar un 1 documento de planeación</t>
  </si>
  <si>
    <t>BP2600431120201</t>
  </si>
  <si>
    <t>Brindar asistencia técnica en la implementación del SGC (acciones de mejora enmarcadas a los resultados de auditorías y seguimiento al Plan Anticorrupción y de Atención al Ciudadano)</t>
  </si>
  <si>
    <t>Puntos de atención con cultura del servicio orientado al ciudadano, operando</t>
  </si>
  <si>
    <t>Fortalecimiento de los canales y puntos de atención al ciudadano de la Secretaría de Desarrollo Territorial y Participación Ciudadana de Santiago de Cali</t>
  </si>
  <si>
    <t>BP26002755</t>
  </si>
  <si>
    <t>BP2600275510101</t>
  </si>
  <si>
    <t xml:space="preserve">Actualizar un (1) Sistema de Información </t>
  </si>
  <si>
    <t>BP2600275510201</t>
  </si>
  <si>
    <t xml:space="preserve">Dotar 23 oficinas para la atención y orientación ciudadana. </t>
  </si>
  <si>
    <t>Oficinas para la atención y orientación ciudadana dotadas</t>
  </si>
  <si>
    <t>Sistema de participación ciudadana, funcionando</t>
  </si>
  <si>
    <t>Apoyo al sistema de participación ciudadana en Santiago de Cali</t>
  </si>
  <si>
    <t>BP26003724</t>
  </si>
  <si>
    <t>BP2600372410101</t>
  </si>
  <si>
    <t>Promover 37 espacios de participación y empoderamiento lo los actores del Sistema de Participación Ciudadana (10% de 2 actividades realizadas)</t>
  </si>
  <si>
    <t>BP2600372410201</t>
  </si>
  <si>
    <t>Brindar asistencia técnica a las 19 entidades 
(10% de 2 actividades realizadas)</t>
  </si>
  <si>
    <t>BP2600372410301</t>
  </si>
  <si>
    <t>Realizar 1 documento investigación 
 (5% de 1 actividad realizada)
(10% de 2 actividades realizadas)</t>
  </si>
  <si>
    <t>Organismos comunales en el territorio Inspeccionados, Vigilados y Controlados en cumplimiento de la norma comunal</t>
  </si>
  <si>
    <t>Aplicación de herramientas y asistencia técnica para el cumplimiento de la normatividad comunal en Santiago de Cali</t>
  </si>
  <si>
    <t>BP26002602</t>
  </si>
  <si>
    <t>BP2600260210101</t>
  </si>
  <si>
    <t>Promover  524 organizaciones comunales</t>
  </si>
  <si>
    <t>BP2600260210201</t>
  </si>
  <si>
    <t>Capacitar a 3162 integrantes de las organizaciones comunales en el cumplimiento de la normatividad comunal</t>
  </si>
  <si>
    <t xml:space="preserve">Estrategia para el fomento y promoción del derecho a la libertad religiosa y la participación ciudadana, realizada </t>
  </si>
  <si>
    <t>Apoyo al fomento a la promoción del derecho a la libertad religiosa participativa en Santiago de Cali</t>
  </si>
  <si>
    <t>BP26002948</t>
  </si>
  <si>
    <t>BP2600294810201</t>
  </si>
  <si>
    <t>Estrategia para el fomento y promoción del derecho a la libertad religiosa y la participación ciudadana, realizada</t>
  </si>
  <si>
    <t>Capacitar 500 personas sobre el derecho a la libertad religiosa en el marco de la participación ciudadana</t>
  </si>
  <si>
    <t>Cali Gobierno Incluyente</t>
  </si>
  <si>
    <t>Inventario de Bienes Inmuebles actualizado</t>
  </si>
  <si>
    <t>Fortalecimiento del inventario de los Bienes Inmuebles de Santiago de Cali</t>
  </si>
  <si>
    <t>BP26002563</t>
  </si>
  <si>
    <t>BP2600256310101</t>
  </si>
  <si>
    <t>Inventario de Bienes Inmuebles Actualizado</t>
  </si>
  <si>
    <t>Actualizar la información del 14% de inmuebles registrados en el inventario bienes inmuebles  propiedad de Santiago de Cali</t>
  </si>
  <si>
    <t>Sistema de información catastral actualizado (Inventario de bienes inmuebles)</t>
  </si>
  <si>
    <t>Unidad Administrativa Especial de Gestión de Bienes y Servicios</t>
  </si>
  <si>
    <t>BP2600256310201</t>
  </si>
  <si>
    <t>Incrementar espacio fisico-zonas verdes de Santiago de Cali establecida por el plan de ordenamiento territorial (POT). Con la adquisicon de 1 predio</t>
  </si>
  <si>
    <t>Documentos de estudios tecnicos realizados (Espacio fisico de zonas verdes incrementado)</t>
  </si>
  <si>
    <t>BP2600256310301</t>
  </si>
  <si>
    <t>Obtener (94) avaluos entre comerciales, de renta y de reconstrucción a nuevo de los Bienes Inmuebles propiedad de Santiago de Cali</t>
  </si>
  <si>
    <t>Edificaciones de propiedad del distrito mantenidas</t>
  </si>
  <si>
    <t>Conservación de las edificaciones de propiedad del Municipio de Santiago de Cali</t>
  </si>
  <si>
    <t>BP26002642</t>
  </si>
  <si>
    <t>BP2600264210101</t>
  </si>
  <si>
    <t xml:space="preserve">Identificar las condiciones tecnicas de mejoramiento de la infraestructura fisica de los bienes inmuebles propiedad de la Alcaldía de Santiago de Cali de  Interes Cultural e institucionales. </t>
  </si>
  <si>
    <t xml:space="preserve">Estudios de Preinversion </t>
  </si>
  <si>
    <t>BP2600264210201</t>
  </si>
  <si>
    <t xml:space="preserve">Mantener en optimas condiciones la infraestructura fisica del Concejo Distrital propiedad de la Alcaldia de Santiago de Cali. </t>
  </si>
  <si>
    <t>Plan Estratégico de Seguridad vial fortalecido</t>
  </si>
  <si>
    <t>Fortalecimiento en la implementación de la Metodología del Plan Estratégico de Seguridad Vial en la Alcaldía de Santiago de Cali</t>
  </si>
  <si>
    <t>BP26004710</t>
  </si>
  <si>
    <t>BP2600471010101</t>
  </si>
  <si>
    <t>Plan Estrategico de Seguridad Vial Fortalecido</t>
  </si>
  <si>
    <t>Aplicar 120 pruebas psicosensometricas y realizar 1000 capacitaciones a funcionario de la alcadia santiago de cali</t>
  </si>
  <si>
    <t>Personas sensibilizadas (Capacitaciones y pruebas psicosensometricas aplicadas)</t>
  </si>
  <si>
    <t>BP2600471010201</t>
  </si>
  <si>
    <t>Elaborar 1 documento de lineamientos que detalle la necesidad de adquirir los kits de carretera</t>
  </si>
  <si>
    <t>BP2600471010301</t>
  </si>
  <si>
    <t>Realizar adecuaciones locativas en el parqueadero del Cam, para la reduccion de riesgo</t>
  </si>
  <si>
    <t>Obras para la reducción del riesgo construidas</t>
  </si>
  <si>
    <t>51010010011</t>
  </si>
  <si>
    <t xml:space="preserve">Alumbrado público inteligente implementado </t>
  </si>
  <si>
    <t xml:space="preserve">Renovación del sistema de Alumbrado Público de Santiago de  Cali
</t>
  </si>
  <si>
    <t>BP26002614</t>
  </si>
  <si>
    <t>Unidad Administrativa Especial de Servicios Pùblicos</t>
  </si>
  <si>
    <t>BP2600261410101</t>
  </si>
  <si>
    <t>Cambiar 16.361luminiarias a nuevas tecnologias</t>
  </si>
  <si>
    <t>Redes de alumbrado público mejoradas</t>
  </si>
  <si>
    <t>BP2600261410201</t>
  </si>
  <si>
    <t>Elaborar 6 documentos de lineamientos técnicos de la renovación del alumbrado público</t>
  </si>
  <si>
    <t>51010010015</t>
  </si>
  <si>
    <t>Servicio de alumbrado público inteligente operando</t>
  </si>
  <si>
    <t xml:space="preserve">Fortalecimiento de la Operación del Servicio de Alumbrado Público de Santiago de Cali
</t>
  </si>
  <si>
    <t>BP26002616</t>
  </si>
  <si>
    <t>BP2600261610101</t>
  </si>
  <si>
    <t>Servicio de alumbrado publico inteligente operando</t>
  </si>
  <si>
    <t>Operar el servicio de Alumbrado Público inteligente</t>
  </si>
  <si>
    <t>Documentos metodológicos eleaborados</t>
  </si>
  <si>
    <t>BP2600261610201</t>
  </si>
  <si>
    <t>Elaborar 8 documentos de lineamientos técnicos del fortalecimiento del alumbrado público</t>
  </si>
  <si>
    <t>Documentos de lineamientos técnicos realizados</t>
  </si>
  <si>
    <t>Espectáculos anuales visuales y luminosos de Alumbrado navideño</t>
  </si>
  <si>
    <t>Implementación del Espectáculo visual y luminoso de Alumbrado Navideño en Santiago de Cali</t>
  </si>
  <si>
    <t>BP26002617</t>
  </si>
  <si>
    <t>BP2600261710101</t>
  </si>
  <si>
    <t>Espectáculos anuales visuales y luminosos de Alumbrado navideño</t>
  </si>
  <si>
    <t xml:space="preserve">Desarrollar un espectáculo de gran impacto y cobertura durante la época decembrina </t>
  </si>
  <si>
    <t>Eventos de promoción de actividades culturales realizados</t>
  </si>
  <si>
    <t>BP2600261710201</t>
  </si>
  <si>
    <t>Elaborar 4 documentos de lineamientos técnicos de Alumbrado Navideño</t>
  </si>
  <si>
    <t>52030090002</t>
  </si>
  <si>
    <t xml:space="preserve">Infraestructura de Agua Potable en la zona rural construidas </t>
  </si>
  <si>
    <t>Ampliación de la infraestructura de los sistemas de abastecimiento de agua potable en zona rural de Santiago de Cali</t>
  </si>
  <si>
    <t>BP26004797</t>
  </si>
  <si>
    <t>BP2600479710101</t>
  </si>
  <si>
    <t xml:space="preserve">Realizar 5 Estudios o Diseños   </t>
  </si>
  <si>
    <t>Estudios o Diseños realizados</t>
  </si>
  <si>
    <t>BP2600479710201</t>
  </si>
  <si>
    <t>Infraestructuras de Agua Potable en la zona rural construidas</t>
  </si>
  <si>
    <t>Construir 1 acueducto</t>
  </si>
  <si>
    <t>Acueductos construidos</t>
  </si>
  <si>
    <t xml:space="preserve">Sistemas de Agua Potable en la zona rural mejorados en infraestructura </t>
  </si>
  <si>
    <t>Mejoramiento de la infraestructura de agua potable en la zona rural de Santiago de Calii</t>
  </si>
  <si>
    <t>BP26004799</t>
  </si>
  <si>
    <t xml:space="preserve">Unidad Administrativa Especial de Servicios Pùblicos
</t>
  </si>
  <si>
    <t>BP2600479910101</t>
  </si>
  <si>
    <t xml:space="preserve">Realizar 3 Estudios o Diseños </t>
  </si>
  <si>
    <t>BP2600479910201</t>
  </si>
  <si>
    <t>Sistemas de Agua Potable en la zona rural mejorados en infraestructura</t>
  </si>
  <si>
    <t xml:space="preserve">Optimizar 6 acueductos </t>
  </si>
  <si>
    <t>Acueductos optimizados</t>
  </si>
  <si>
    <t>Beneficiarios del subsidio del déficit de a las empresas de servicios públicos de acueducto alcantarillado y aseo de los estratos 1, 2 y 3 del fondo de solidaridad y redistribución de ingreso</t>
  </si>
  <si>
    <t xml:space="preserve">Subsidio de servicios públicos domiciliarios para los estratos 1, 2 y 3 en Santiago de Cali										
										</t>
  </si>
  <si>
    <t>BP26002534</t>
  </si>
  <si>
    <t>BP2600253410101</t>
  </si>
  <si>
    <t>Beneficiar 462.205 suscriptores del subsidio de  servicios públicos de acueducto alcantarillado y aseo de los estratos 1, 2 y 3..</t>
  </si>
  <si>
    <t>Usuarios beneficiados con subsidios al consumo</t>
  </si>
  <si>
    <t>Beneficiarios del programa de mínimo vital de agua potable</t>
  </si>
  <si>
    <t>Aplicación del programa mínimo vital de agua potable para los estratos 1 y 2 de Santiago De Cali</t>
  </si>
  <si>
    <t>BP26002535</t>
  </si>
  <si>
    <t>BP2600253510101</t>
  </si>
  <si>
    <t>Beneficiar 266.426 suscriptores del programana del mínimo vital de agua potable</t>
  </si>
  <si>
    <t>Redes de alcantarillado en el área de prestación de servicio de EMCALI intervenidas</t>
  </si>
  <si>
    <t>Optimización de la red secundaria de alcantarillado en el barrio San Luis de Santiago de Cali</t>
  </si>
  <si>
    <t>BP26001001</t>
  </si>
  <si>
    <t>BP2600100110101</t>
  </si>
  <si>
    <t>Optimizar 6.527 metros lineales de alcantarillado en el barrio San Luis (1 alcatarillado optimizado)</t>
  </si>
  <si>
    <t>Alcantarillado Optimizado</t>
  </si>
  <si>
    <t>Redes de Acueducto en el área de prestación de servicio de Emcali intervenidas</t>
  </si>
  <si>
    <t>Optimización de redes secundarias de acueducto barrios Puerto Mallarino, Simón Bolivar, El Lido, Colseguros Y Saavedra Galindo Del Municipio De Santiago De Cali</t>
  </si>
  <si>
    <t>BP26000792</t>
  </si>
  <si>
    <t>BP2600079210101</t>
  </si>
  <si>
    <t>Optimizar 5  de redes secundarias de acueducto barrios Puerto Mallarino, Simón Bolivar, El Lido, Colseguros Y Saavedra Galindo Del Municipio De Santiago) De Cali</t>
  </si>
  <si>
    <t xml:space="preserve">Acueductos Optimizados </t>
  </si>
  <si>
    <t xml:space="preserve">Optimización redes de acueducto en los barrios san luis y san carlos de santiago de cali </t>
  </si>
  <si>
    <t>BP26001594</t>
  </si>
  <si>
    <t>BP2600159410101</t>
  </si>
  <si>
    <t>Optimizacion de la red de acueducto de los barrios San Luis y San Carlos</t>
  </si>
  <si>
    <t>Renovar 3.425 mts de las redes de acueducto de los barrios San Luis y San Carlos</t>
  </si>
  <si>
    <t>Conformación de Sectores Hidráulicos en la Red Baja Oriental del Sistema de Distribución de Agua Potable de la Ciudad de Cali</t>
  </si>
  <si>
    <t>BP26001160</t>
  </si>
  <si>
    <t>BP2600116010101</t>
  </si>
  <si>
    <t xml:space="preserve">Optimizar 1000 metros lineales de redes de acueducto . </t>
  </si>
  <si>
    <t xml:space="preserve">Acueductos optimizados </t>
  </si>
  <si>
    <t>Cali Corazón de las Culturas</t>
  </si>
  <si>
    <t>Fuentes, monumentos y bienes de interés cultural con sistemas de iluminación ornamental conservadas</t>
  </si>
  <si>
    <t>Mejoramiento de la iluminación ornamental de fuentes, monumentos y bienes de interés cultural de Cali</t>
  </si>
  <si>
    <t>BP26004620</t>
  </si>
  <si>
    <t>BP2600462010101</t>
  </si>
  <si>
    <t>Fuentes, monumentos y bienes de interes cultural con sistemas de iluminación ornamental conservadas</t>
  </si>
  <si>
    <t>Conservar 39 fuentes, monumentos y bienes de interes cultural con sistemas de iluminación ornamental</t>
  </si>
  <si>
    <t>Sedes Mantenidas</t>
  </si>
  <si>
    <t xml:space="preserve">Grandes generadores con tecnologías de aprovechamiento de residuos sólidos orgánicos aplicadas  </t>
  </si>
  <si>
    <t>Aprovechamiento de los residuos sólidos orgánicos en Santiago de Cali</t>
  </si>
  <si>
    <t>BP26003690</t>
  </si>
  <si>
    <t>BP2600369010101</t>
  </si>
  <si>
    <t>Grandes generadores con tecnologías de aprovechamiento de residuos sólidos orgánicos aplicadas</t>
  </si>
  <si>
    <t xml:space="preserve">Aplicar a 25 grandes generadores de residuos sólidos, tecnologías de aprovechamiento de residuos sólidos orgánicos </t>
  </si>
  <si>
    <t>Documentos de estudios realizados</t>
  </si>
  <si>
    <t>Ampliación de la técnologia de aprovechamiento de residuos solidos organicos en el coregimiento de montebello en Santiago de Cali</t>
  </si>
  <si>
    <t>BP26004954</t>
  </si>
  <si>
    <t>BP2600495410101</t>
  </si>
  <si>
    <t>Incrementar la infraestructura para el aprovechamiento de residuos sólidos orgánicos</t>
  </si>
  <si>
    <t>Plan de Gestión Integral de Residuos Solidos implementado</t>
  </si>
  <si>
    <t xml:space="preserve">Barrios con rutas selectivas de residuos sólidos con inclusión de recicladores de oficio implementadas </t>
  </si>
  <si>
    <t>Implementación de la fase II de la ruta selectiva con inclusión de recicladores de oficio en Santiago de Cali</t>
  </si>
  <si>
    <t>BP26003692</t>
  </si>
  <si>
    <t>BP2600369210101</t>
  </si>
  <si>
    <t>Barrios con ruta selectiva de residuos sólidos aprovechables</t>
  </si>
  <si>
    <t xml:space="preserve">Implementar en 20 barrios la fase II de ruta selectiva con inclusión de recicladores de oficio </t>
  </si>
  <si>
    <t>Plan de Gestión Integral de Residuos Solidos implementado.</t>
  </si>
  <si>
    <t>BP2600369210201</t>
  </si>
  <si>
    <t>Brindar el servicio de aseo a 652.651 usuarios</t>
  </si>
  <si>
    <t>Número de Usuarios</t>
  </si>
  <si>
    <t>Fortalecimiento de los componentes del aprovechamiento de residuos sólidos en Cali</t>
  </si>
  <si>
    <t>BP26005120</t>
  </si>
  <si>
    <t>BP2600512010101</t>
  </si>
  <si>
    <t>Servicio de Aseo</t>
  </si>
  <si>
    <t>Usuarios con acceso al servicio de aseo</t>
  </si>
  <si>
    <t xml:space="preserve">Sitio de recolección, transporte, transferencia, aprovechamiento y disposición final para la gestión de residuos de construcción y demolición RCD operando </t>
  </si>
  <si>
    <t>Fortalecimiento a la Gestión Integral de Residuos de Construcción y Demolición -RCD en Santiago de Cali</t>
  </si>
  <si>
    <t>BP26002536</t>
  </si>
  <si>
    <t>BP2600253610101</t>
  </si>
  <si>
    <t>Sitio de recolección, transporte, transferencia, aprovechamiento y disposición final para la gestión de residuos de construcción y demolición RCD operando</t>
  </si>
  <si>
    <t>Operar sitio de recolección, transporte, aprovechamiento y disposición final para la gestión de residuos de construcción y demolición RCD</t>
  </si>
  <si>
    <t>Plan de Gestión Integral de Residuos Solidos implementado</t>
  </si>
  <si>
    <t>BP2600253610201</t>
  </si>
  <si>
    <t>Servicios de valorización de residuos sólidos (planta piloto)</t>
  </si>
  <si>
    <t>Residuos valorizados producidos.</t>
  </si>
  <si>
    <t xml:space="preserve">Espacios públicos impactados por el manejo inadecuado de residuos sólidos intervenidos </t>
  </si>
  <si>
    <t>Mejoramiento de la Gestión Integral de residuos sólidos y componentes del servicio público de aseo de Santiago de Cali</t>
  </si>
  <si>
    <t>BP26002537</t>
  </si>
  <si>
    <t>BP2600253710101</t>
  </si>
  <si>
    <t>Espacios públicos impactados por disposición inadecuada de residuos sólidos</t>
  </si>
  <si>
    <t>Intervenir 50 espacios públicos impactados por el manejo inadecuado de residuos sólidos</t>
  </si>
  <si>
    <t xml:space="preserve">Lixiviados del antiguo vertedero de Navarro tratados </t>
  </si>
  <si>
    <t>Mantenimiento del sistema de la planta de tratamiento de lixiviados de  la ciudad de Santiago de Cali</t>
  </si>
  <si>
    <t>BP26004910</t>
  </si>
  <si>
    <t>BP26004910101</t>
  </si>
  <si>
    <t>Lixiviados del antiguo vertedero de Navarro tratados</t>
  </si>
  <si>
    <t>Tratar 40.000 m3 de lixiviados del antiguo Vertedoro de Navarro</t>
  </si>
  <si>
    <t>Documentos técnicos en tratamiento de aguas residuales realizados</t>
  </si>
  <si>
    <t>Monitoreo anual de calidad ambiental (estabilidad de la masa de residuos y calidad del aire) del antiguo vertedero de Navarro</t>
  </si>
  <si>
    <t>Diagnóstico de la calidad ambiental de Pos-Clausura del antiguo vertedero de la ciudad de Cali</t>
  </si>
  <si>
    <t>BP26002539</t>
  </si>
  <si>
    <t>BP2600253910101</t>
  </si>
  <si>
    <t>Condiciones ambientales (estabilidad de la masa de residuos y calidad del aire) del antiguo vertedero de Navarro monitoreadas</t>
  </si>
  <si>
    <t>Realizar el servicio de vigilancia de la calidad del aire</t>
  </si>
  <si>
    <t xml:space="preserve">Estaciones para el monitoreo de la calidad del aire implementadas </t>
  </si>
  <si>
    <t xml:space="preserve">Personas sensibilizadas en gestión de residuos sólidos con inclusión de recicladores de oficio  </t>
  </si>
  <si>
    <t>Implementación  de la estrategia de comunicación para el manejo adecuado de los residuos sólidos en el marco de la prestación de los servicios públicos en Santiago de Cali.</t>
  </si>
  <si>
    <t>BP26004817</t>
  </si>
  <si>
    <t>BP2600481710101</t>
  </si>
  <si>
    <t>Plan de gestión integral de residuos sólidos</t>
  </si>
  <si>
    <t xml:space="preserve">Implementar una estrategia de sensibilización en la gestión integral de residuos sólidos </t>
  </si>
  <si>
    <t>C</t>
  </si>
  <si>
    <t xml:space="preserve">Soporte Vital para el Desarrollo </t>
  </si>
  <si>
    <t xml:space="preserve">Gestión del Agua </t>
  </si>
  <si>
    <t xml:space="preserve">Plantas de Tratamiento de Agua Residual Doméstica (PTARD) construidas en la zona rural </t>
  </si>
  <si>
    <t>Implementación de infraestructura de saneamiento básico zona rural Santiago de Cali</t>
  </si>
  <si>
    <t>BP26004800</t>
  </si>
  <si>
    <t>BP2600480010101</t>
  </si>
  <si>
    <t>Sistemas de alcantarillado y tratamiento de aguas servidas mejoradas en la zona rural</t>
  </si>
  <si>
    <t xml:space="preserve">Mejorar 2 Planta de Tratamiento de Agua Residual Doméstica (PTARD) en la zona rural  </t>
  </si>
  <si>
    <t xml:space="preserve">Alcantarillados optimizados </t>
  </si>
  <si>
    <t xml:space="preserve">Plantas de Tratamiento de Agua Residual Doméstica (PTARD) mejoradas en la zona rural  </t>
  </si>
  <si>
    <t>Optimización de la cobertura de los Sistemas de Saneamiento Básico zona rural Santiago de Cali</t>
  </si>
  <si>
    <t>BP26004798</t>
  </si>
  <si>
    <t>BP2600479810101</t>
  </si>
  <si>
    <t xml:space="preserve">Mejorar 1 Planta de Tratamiento de Agua Residual Doméstica (PTARD) en la zona rural  </t>
  </si>
  <si>
    <t>Líneas de servicios del Proceso Servicios Públicos certificadas bajo la ISO 9001:2015</t>
  </si>
  <si>
    <t>BP26002540</t>
  </si>
  <si>
    <t>Normalización de Líneas de Servicios bajo la ISO9001-2015 en la UAESP de Santiago de Cali</t>
  </si>
  <si>
    <t>BP2600254010101</t>
  </si>
  <si>
    <t>Certificar 1 Líneas de servicios del Proceso Servicios Públicos bajo la ISO 9001:2015</t>
  </si>
  <si>
    <t>BP2600254010201</t>
  </si>
  <si>
    <t>Elaborar documentos de lineamientos tecnicos para la aplicación de los procesos  estrategicos y de apoyo</t>
  </si>
  <si>
    <t>Documentos de lineamientos tecnicos realizados</t>
  </si>
  <si>
    <t xml:space="preserve">Adecuar 1 Infraestructura para el bienestar animal </t>
  </si>
  <si>
    <t xml:space="preserve">Capacitar 2.400 personas en temas de maltrato y bienestar animal
</t>
  </si>
  <si>
    <t>Enero - Junio de 2024</t>
  </si>
  <si>
    <t>Se ha aportado al fortalecimiento institucional. Así se ha logrado visibilizar a la Alcaldía de Santiago de Cali por medio de acciones apoyadas por los diferentes organismos de la entidad, enmarcado en la implementación de un modelo de agencia técnica.</t>
  </si>
  <si>
    <t>Alianzas, y/o coordinaciones suscritos</t>
  </si>
  <si>
    <t>Fortalecimiento de alianzas y/o coordinaciones que promuevan acciones de integración en Santiago de Cali</t>
  </si>
  <si>
    <t>BP26002909</t>
  </si>
  <si>
    <t>BP2600290910101</t>
  </si>
  <si>
    <t xml:space="preserve">Alianzas, y/o coordinaciones suscritos  </t>
  </si>
  <si>
    <t xml:space="preserve">Elaborar 1 documentos de Política </t>
  </si>
  <si>
    <t>Avances del documento con los instrumentos de cooperación que le dan visibilidad a la Alcaldía y lo posicionan como un referente ante cooperantes.
Se avanzó con el capítulo de cooperación internacional de la Estrategia de Acción Internacional.</t>
  </si>
  <si>
    <t>Avances en la participación en el segundo taller HAGA con la ONG Extituto para identificar los aspectos de la herramienta correspondiente al cumplimiento del Compromiso del V Plan, Gobierno Abierto.</t>
  </si>
  <si>
    <t>Documento inicial con Estrategia de gestión de los riesgos de Corrupción, Lavado de activos, Financiación del Terrorismo con  Antecedentes normativos y políticos del PTEP, diagnóstico evaluación, prevención, detección y respuesta a riesgos de LAFT y corrupción.</t>
  </si>
  <si>
    <t>Se revisaron los respectivos canales de denuncia que se encuentran en cada uno de los CALI, se realizó la integración de las bases de datos que permitan el diseño y puesta en marcha del tablero de inversión y la actualización respectiva del micrositio web.</t>
  </si>
  <si>
    <t>Construcción de las bases de la gestión de riesgos de terceros asociada a la  Definición e implementación de medidas razonables, con un enfoque basado en riesgo, para prevenir, detectar y responder a riesgos de corrupción y LAFT (antes, durante y después de la contratación de contrapartes externas).</t>
  </si>
  <si>
    <t>Durante el periodo de se llevaron a cabo seis mesas de trabajo para el intercambio de necesidades y nuevas perspectivas frente a los proyectos movilizadores de la administración anterior con los observatorios ciudadanos de transparencia, y tres rendiciones de cuentas para socializar las posibilidades para la materialización de los 3 parques vigilados por ellos.
También se realizaron reuniones técnicas de escucha ciudadana y el plan de trabajo articulado con la Secretaría de Participación Ciudadana, con el objetivo de realizar capacitaciones en el marco de los Observatorios Ciudadanos de Transparencia.</t>
  </si>
  <si>
    <t>BP2600310210101</t>
  </si>
  <si>
    <t>50 personas capacitadas
(Informe final por cada cohorte con las personas capacitadas)</t>
  </si>
  <si>
    <t>A la fecha se avanzado en la realización de acciones para la construcción de los documentos previos y el documento orientador necesario para la ejecución del proyecto por parte de una entidad académica. Actualmente, el proyecto se encuentra en la fase de alistamiento.</t>
  </si>
  <si>
    <t>Asistir técnicamente 1 entidades, organismos y/o dependencias, que conforman 1  Red de agentes institucionales</t>
  </si>
  <si>
    <t xml:space="preserve">Se ha realizado articulación con organismos del Distrito para el fortalecimiento de Red de Agentes y elaboración de un mapa de actores institucionales: En el contexto del proyecto, se ha llevado a cabo una estrecha colaboración con diversos organismos del distrito. Esta articulación ha sido clave para el fortalecimiento de una red de agentes, permitiendo una mayor cohesión y coordinación entre las distintas entidades involucradas. La elaboración de una propuesta inicial de mapa de actores institucionales que ha sido un paso fundamental en este proceso, ya que facilita la identificación y el análisis de las relaciones y roles de cada entidad dentro del marco institucional. </t>
  </si>
  <si>
    <t>Se definió la estrategia de comunicación de la vigencia 2024 con acciones dirigidas tanto a público interno (nivel organizacional) como externo (nivel informativo). El trabajo incluyó definición, programación y control de contenidos informativos y divulgación institucional a través de medios propios. En la estrategia se ha logrado contar con: Publicación de 412 contenidos en la intranet,  50 campañas internas apoyadas, 47 fondos de pantalla habilitados a través del directorio activo y 262 mensajes a correos corporativos.  
Se produjeron 1.881 contenidos en el portal que se distribuyeron a través de los medios propios y a los medios de comunicación para su réplica ante la comunidad. 17 ruedas de prensa y 112 ronda de medios. Divulgación en redes sociales. Total de 3.926 piezas gráficas de comunicación de temas relacionados con marca institucional: Plan de Desarrollo, COP-16, cuidemos al MIO, Feria de Servicios, Volvamos a mi Cali bella, rendición de cuentas, campañas de los organismos sobre eventos y fechas especiales y campañas de comunicación organizacional, entre otros.</t>
  </si>
  <si>
    <t xml:space="preserve">En el marco del desarrollo de la estrategia, se garantizó la presencia de marca, el apoyo logístico y el correcto manejo del protocolo oficial en 307 eventos de la Administración Municipal </t>
  </si>
  <si>
    <t>Al 30 de junio de 2024 se han desarrollado dos informes de seguimiento y control de la información litigiosa el cual contiene el reporte estadístico de seguimiento de 4094 Demandas y medios alternativos de solución de conflictos activos en contra de la alcaldía.
Se ha alcanzado un 10,5% / 30% en la ejecución física del producto.</t>
  </si>
  <si>
    <t>La actividad con el presupuesto necesario para su ejecución, el recurso de adición presupuestal llego en el mes de junio de 2024, y por cuestiones de la armonización al nuevo Plan de Desarrollo, se considero pertinente hacer los ajustes al proyecto una vez se cumpliera dicha armonización, por lo anterior se pretende que la actividad se ejecute en el mes de agosto de 2024.</t>
  </si>
  <si>
    <t>Al 30 de junio  de 2024, se ha desarrollado un informe con los lineamientos de planeación y gestión operativa del proyecto de prevención.
Se ha avanzado en un 6% / 15% de la ejecución física del producto.</t>
  </si>
  <si>
    <t>Al 30 de junio de 2024 se han atendido más de 1140 actuaciones judiciales.
Al 30 de junio de 2024, igualmente se ha gestionado el cumplimiento de pago de sentencias de 13 providencias.
Al 30 de junio de 2024 se han atendido más de 598 solicitudes de emision de conceptos y revisión de actos administrativos.
Al 30 de junio de 2024 se ha avanzado con un 15,8% / 45% en el logro ponderado del producto. 
Respecto al producto que apunta a la meta del plan de desarrollo, el cual consiste en operar el modelo de prevención del Daño Antijurídico, el avance fue del 15,75% el porcentaje total de cumplimiento se obtendrá, una vez se cuente con el  documento consolidado de los lineamientos técnicos del Modelo, el cual se encuentra en su fase preparatoria.</t>
  </si>
  <si>
    <t>Al  30 de junio de 2024 se ha avanzado en la ejecución de actividades desarrolladas para la disposición de la información en términos de mantenimiento, soporte técnico y análisis estadísticos. 
Se ha avanzado en un 9,01% / 30% de ejecución física de los productos que componen el proyecto.</t>
  </si>
  <si>
    <t>Respecto al producto que apunta a la meta del plan de desarrollo, el cual consiste en implementar el  Modelo predictivo de fallos judiciales, el avance fue del 0%.
No se ha podido implementar debido a que se esta realizando un diagnostico sobre la viabilidad de desarrollar la interfaz grafica del Modelo Predictivo.</t>
  </si>
  <si>
    <t>Se sensibilizaron 406 Servidores Públicos,  en el fomento de la cultura del autocontrol. La metodología utilizada se llevó a acabo de forma interactiva, con temas estructurados, dinámicas lúdico pedagógicas para incentivar la apropiación del conocimiento. Durante las sensibilizaciones sobre la cultura del control, se abordaron ocho módulos temáticos clasificados de la siguiente manera:
1.Marco normativo
2.Conceptos control interno
3.Mapa de operación por procesos (M.O.P)
4.Desarrollo de auditorías internas
5.Planes de mejoramiento
6.Administración de riesgos
7. Ética y valores (Autocontrol, Autoevaluación, Control)
8. Herramientas de control institucionales
Además, se diseñó un instrumento evaluativo (encuesta de conocimiento) y otra de satisfacción</t>
  </si>
  <si>
    <t>Se llevaron a cabo 11 jornadas de sensibilización dirigidas a los siguientes organismos:  DAPM, DAHM, DAGMA, DADII, Secretaría del Deporte, Secretaría de educación</t>
  </si>
  <si>
    <t>Se han  realizado   jornadas de orientación  en ley disciplinaria logrando orientar a 577 servidores públicos  de  6 organismos de la admnistración distrital  (  secretaria de seguridad y justicia , Secretaria de  infraestructura- secretaria de movilidad-DADII. direccion de espacio fisico )</t>
  </si>
  <si>
    <t xml:space="preserve">se realizaron dos    jornadas de orientación  en la ley disciplinaria a  ciudadanos  , y se senbilizaron a  cien (100) ciudadanos  
</t>
  </si>
  <si>
    <t xml:space="preserve">La ejecución de esta actividad  ha  permitido terminar   125  expedientes expedientes activos de los procesos disciplinarios  de vigencias anteriores </t>
  </si>
  <si>
    <t>se ha realizado   actualización , ajustes del los modulos de notificaciones  y abogados  , se realizo mantenimiento y sporte del aplicativo y copia de seguriddad</t>
  </si>
  <si>
    <t>Se definieron los dos temas de las investigaciones del  proyecto : Investigación de la Conducta Oficial del Servidor Público de la Alcaldía de Santiago de Cali, BP No. 26002963, se elos tres primeros capitulos de los  dos  de las temas  de las dos  investigaciones .</t>
  </si>
  <si>
    <t xml:space="preserve">En el mes de junio se adelantaron las siguientes actividades para la determinación del cálculo de plusvalía.
Se avanza en la etapa de contratación del proceso para la realización del cálculo de plusvalía, el cual se encuentra  publicado en secop II de la INVITACIÓN PROCESO DE SELECCIÓN DE MÍNIMA CUANTÍA No. 4131.010.32.1.937-2024.
Entrega de insumo correspondiente de la normatividad y la cartografía a la consultoría de plusvalías
Se realizó Mesa de trabajo con planeación y la consultoría para aclarar conceptos técnicos y explicación del contenido del informe técnico normativo del estudio de hechos generadores.  
Se recibió y aprobó plan de gestión y calidad por parte de la consultoría en el marco del desarrollo del contrato 0937-2024
Se realizaron 3 reuniones de seguimiento a la ejecución del contrato 0937-2024
</t>
  </si>
  <si>
    <t>En el periodo de enero a junio se realizaron 447 procesos (actualización, análisis, generación, identificación, liquidación, selección, simulación) para 30.338.476 predios en su variable económica del total de predios de la base de datos catastral,  correspondiente a la atención de trámites catastrales y revisión valores generados en el marco de la misionalidad del proceso catastral..
En el mes de junio se realizaron 145 procesos (actualización, análisis, generación, identificación, liquidación, selección, simulación) para 7.296.240 predios en su variable económica del total de predios de la base de datos catastral.</t>
  </si>
  <si>
    <t>En el periodo de enero a junio se han capturado 2.299 ofertas de mercado de la dinámica inmobiliaria de la ciudad a través de métodos indirectos, para posterior realización de fichas de avalúos y publicación en el geoportal de la Subdirección de Catastro.
En el mes de junio se realizó la captura de 627 ofertas inmobiliarias a través de métodos directos (421 ofertas) e indirectos (206)  en el área urbana y rural del Distrito Santiago de Cal.</t>
  </si>
  <si>
    <t>En el mes de junio  se realizó análisis del mercado inmobiliario, definición de valores m2 e informe de valores comerciales con el objetivo de fortalecer la elaboración del documento metodológico en la componente valuatoria, así como el componente jurídico y  análisis técnico de predios.  Avalúos realizados: 236</t>
  </si>
  <si>
    <t>En el mes de junio se realizó la georreferenciación de 627 ofertas de la dinamica inmobiliaria, localizadas en la base de datos cartográfica con los identificadores prediales para su ubicación, las cuales se encuentran con localización posicional, sujetas a proceso de depuración, para informe final.</t>
  </si>
  <si>
    <t>Se construyó  el marco teórico de la investigación denominada Eficiencia en el Gasto Público, un análisis para el Distrito Especial de Cali.</t>
  </si>
  <si>
    <t>Se ha recopilado y analizado información del sistema SAP (Z192 y Z185) correspondiente al mes de junio del 2024 con el propósito de actualizar y enriquecer el tablero de control de manera periódica, alineándolo con el nuevo clasificador presupuestal.</t>
  </si>
  <si>
    <t>Al mes de Junio se reporta en el informe una Cartera Recuperada $25.493 (millones de pesos) equivalente al 8.07% del Plan de Desarrollo al 2023 donde se deberá recaudar $316.053 (millones de pesos).
Fuente: Sistema SGAFT-SAP, transacción Z185, generado el  27 de junio 2024  a las 12:39 m</t>
  </si>
  <si>
    <t>Al mes de Junio se reporta recaudo vigencia corriente de $ 1.179.492, (millones de pesos) , equivalente a un 83,97% . Respecto el Plan de Desarrollo al 2023 se deberá recaudar $1.404.721 (millones de pesos).
Fuente: Sistema SGAFT-SAP, transacción Z185, generado el  27 de junio 2024  a las 12:39 m</t>
  </si>
  <si>
    <t>Sostenibilidad de los niveles de cumplimiento de las obligaciones tributarias de Impuesto
Predial Unificado e ICA en Santiago de Cali y
otros</t>
  </si>
  <si>
    <r>
      <rPr>
        <sz val="9"/>
        <color theme="1"/>
        <rFont val="Arial Narrow"/>
      </rPr>
      <t xml:space="preserve">Facturación Masiva IPU: 696.315
Dctos cobro Centros de Atención IPU 643.349 y ICA 13.572
Atención personalizada 246.865
Ajustes Cta Cte 971.074 - *(889.234 moviemientos en la Cta Cte Datic)*
Aplicación Actos Adtivos 986
</t>
    </r>
    <r>
      <rPr>
        <sz val="9"/>
        <color theme="1"/>
        <rFont val="Arial Narrow"/>
      </rPr>
      <t>Indicador Plan de Desarrollo Mayo 2024: V1: 466.811 / V2: 740.458= 63%</t>
    </r>
  </si>
  <si>
    <t>Elaborar 201.436 documentos metodologicos
(Actos Administrativos de tributos distritales), como resultado de las investigaciones tributarias realizadas</t>
  </si>
  <si>
    <t xml:space="preserve">Investig tributarias fiscalización: Inex 50, Otros tributos 454
Gestión  Actos Adminsitrativos: Determinación 91 Liq. Oficiales, 11 Resolución Sanción por no declarar, 186.791 liquidación oficial de IPU y 767 Discusión Tributaria
</t>
  </si>
  <si>
    <t>Se han realizado 2 Piezas Educativas, 24 Jornadas Moviles, 1.238 impactos en medios masivos, 5 publicaciones en Pagina Web</t>
  </si>
  <si>
    <t xml:space="preserve">En el periodo de enero a junio  se actualizaron 44.398 predios a través del sub proceso de conservación catastral, modificados a través de las diferentes mutaciones catastrales a petición de parte y de oficio, con un porcentaje de cumplimiento del indicador de PDD del 52%.
Para el mes de junio se actualizaron 483 predios a solicitud de parte y de oficio.
</t>
  </si>
  <si>
    <t>En el periodo de enero a junio se realizó edición de la base cartográfica a 6.780 predios (3.862 urbanos y 2.918 rurales).
Para el  mes de junio se realizó edición en la base cartográfica de 170 predios (110 urbanos y 60 rurales).
En el periodo de enero a mayo no se realizó incorporación en la base de datos cartográfica de los cambios realizados por los equipos a través de las mutaciones catastrales.
Para el mes de junio se incorporaron 141 predios en el área urbana y 60 rural con un total de predios incorporados de 201.</t>
  </si>
  <si>
    <r>
      <rPr>
        <sz val="10"/>
        <color rgb="FF000000"/>
        <rFont val="Arial Narrow"/>
      </rPr>
      <t xml:space="preserve">En el periodo de abril a junio, se realizaron los siguientes avances correspondientes a la etapa pre-operativa y operativa del proceso de actualización en las comunas objeto de intervención.
</t>
    </r>
    <r>
      <rPr>
        <b/>
        <sz val="10"/>
        <color rgb="FF000000"/>
        <rFont val="Arial Narrow"/>
      </rPr>
      <t>Etapa Operativa</t>
    </r>
    <r>
      <rPr>
        <sz val="10"/>
        <color rgb="FF000000"/>
        <rFont val="Arial Narrow"/>
      </rPr>
      <t xml:space="preserve">:
Componente socialización: Sensibilización a los ciudadanos del Distrito de Santiago de Cali según los 4 niveles de socialización, Cumplimiento de la actividad 82%.
Componente de Reconocimiento: Captura de cambios físico (ingreso al predio). cumplimiento de la actividad 40%.
 Componente Jurídico: Con corte al 30 de junio de 2024, el equipo jurídico se encuentra validando la información de la brecha registral entre la información remitida por la SNR y la base catastral del Distrito de Santiago de Cali, ya se validaron las comunas 2, 3 y 4. Con corte al 30 de junio se inició con la comuna 8.
</t>
    </r>
  </si>
  <si>
    <t>En el periodo de abril a junio, el equipo de cartografía se encuentra adelantando la actividad de marcas mediante método indirecto, esto con apoyo de la ortofotografía y la cartografía predial, en este proceso se identifican cambios en área construida y construcciones no convencionales no incorporadas en la base de datos catastral, el avance se estima en un 100% para la comuna 02 y 03.
Componente Cartografico: 
- Definición de marcas por método indirecto
- Asignación de predios a visitar a visitar en las comunas 2, 3 y 4</t>
  </si>
  <si>
    <t>En el mes de junio se realizó el envío del documento anexo técnico con el fin de definir los lineamientos para entrega de la información del componente económico durante el proceso de actualización catastral urbana, año 2024.</t>
  </si>
  <si>
    <t>En el periodo de abril a mayo se desarrollaron las actividades del componente social del proceso de actualización correspondiente a los actores primarios y secunda. Avance de la actividad 82%.</t>
  </si>
  <si>
    <t xml:space="preserve">A la fecha, se realizó la revicion   de elementos de mobiliario mayor , correspondientes a Paraderos de bus ,mupis de copa ,mupis de piedra  ; y mobiliario menor bancas parques en el período comprendido de enero-junio   se realizó el mantenimiento de la totalidad de  elementos de mobiliario y  para un total de 1500 el semestre </t>
  </si>
  <si>
    <t>Ala fecha, Se da acceso a la plataforma de Líneas Automatizadas, solo hasta el 24 de junio. La plataforma no carga la información completa. Se inicia la revisión de las observaciones presentadas por el equipo de Líneas de Demarcación.</t>
  </si>
  <si>
    <t>A la fecha, Se actualizaron las proyecciones viales de los asentamientos humanos legalizados dentro de la comuna 18 para apoyo en los procesos de Certificación y Asignación de Nomenclatura, de los 5 procesos tramitables quedaron  así: 1.Líneas demarcación 100%, 2.Nomenclatura 100%, 3.Aportes mayor edificabilidad 100%, 4.Estacionamiento pago parqueadero 100%, 5.EIR esquema implantación por Regularización 60%</t>
  </si>
  <si>
    <t>Al mes de junio se cuenta con un avance del 17.5% del proyecto, correspondiente al Diseño urbano, arquitectónico y paisajístico de espacios públicos a intervenir en el Distrito Santiago de   Cali correspondiente intervenciones de Urbanismo Táctico para la Recuperación del centro de Cali. Barrio San Pedro de la Comuna 3, Calle del sabor y Plaza de Cayzedo en el marco de las iniciativas Gerencia de Ciudad, COP 16 y fase de diagnóstico e identificación de espacios públicos potenciales a intervenir en el Distrito.</t>
  </si>
  <si>
    <t>A la fecha se avanza el 0,5 %  en  la revisión exhaustiva de la información del documento diagnóstico, facilitando una evaluación precisa de sus contenidos técnicos. Se ha progresado en la organización de mesas técnicas en colaboración con el Observatorio de Espacio Público, esenciales para el desarrollo del proyecto. Estas actividades incluyeron la definición de bases de datos geográficas, la consolidación del SIG y la preparación de información para la apertura de la consultoría de formulación, enviando invitaciones a cotizar para este propósito</t>
  </si>
  <si>
    <t>A la fecha, se identificaron 79 vallas publicitarias instaladas en Santiago de Cali. Se han otorgado 39 permisos de publicidad exterior visual mayor -  vallas publicitarias en el transcurso del año y existen 221 registros vigentes que pueden ser consultados en la plataforma SAUL: https://saul.cali.gov.co/saul/vallas y en el aplicativo de consulta de vallas: https://geoportal.cali.gov.co/arcgis/apps/webappviewer/index.html?id=cc78305853a54a8fb40d0cffc48cff7d</t>
  </si>
  <si>
    <t>A la fecha se avanza el 0,5 % en  la recopilación de información cartográfica y espacial esencial para el plan maestro de equipamientos. Recopilando insumos de vigencias anteriores y articulando la información requerida para la formulación del plan. Además, se preparó la información para la consultoría de formulación, enviando invitaciones a posibles proponentes</t>
  </si>
  <si>
    <t>Durante el período actual, Se realizó la invitación a cotizar en el SECOP II, para la consultoría de formulación de Políticas Públicas en Servicios Públicos, y se revisaron las invitaciones allegadas para la evaluación de los alcances técnicos</t>
  </si>
  <si>
    <t>Durante este período se continuó con el procesamiento de información secundaria para incluir el subsistema de GLP en el Diagnóstico de Servicios Públicos y se realizó a evolución de información cartográfica de acueducto y alcantarillado rural</t>
  </si>
  <si>
    <t>A la fecha. Se avanzó en la estructuración de los estudios previos, y el análisis del sector para la contratación del Plan de gestión social y predial del Planchón de Santa Elena</t>
  </si>
  <si>
    <t>A la fecha. Las actividades realizadas con respecto a la actualización  del inventario de los bienes de interes cultural, han estado orientadas al trabajo en campo, se realizaran jornadas de participacion con la comunidad de los barrios, San Antonio, San Cayetano, San Pedro, La Merced y Santa Rosa, de interes cultural, por otro lado, se adelantó trabajo de campo, donde se realizó recolección de información de usos y alturas en el barrio de San Cayetano y San Antonio, se debe tener en cuenta que tanta las jornadas de participación como el trabajo de campo, una vez realizadas las actividades se procedió a la realizacion del procesamiento de información. 
Por otro lado, se adelantó la recopilación del estado actual del sector Centro, San Antonio y una porción de San Cayetano desde la temática de movilidad, servicios públicos, ambiente y patrimonio cultural como parte del ejercicio de actualización del Plan Especial de Manejo y Protección del Centro Histórico.</t>
  </si>
  <si>
    <t xml:space="preserve">A la fecha. En esta actividad se realizaron actividades de recopilación de información, procesamiento de datos que son de importancia para el debido desarrollo de la actividada, se debe tener en cuenta que los avances son bajos dado que se tiene una ejecucion baja de presupuesto. </t>
  </si>
  <si>
    <t>A la fecha. El informe de seguimiento de la implementación del PGIRS de la vigencia 2023, se encuentra elaborado y verificado con los organismos responsables de su implementación. Queda pendiente presentarlo a los directivos de cada organismo para su respectiva publicación en la página web de la alcaldía.</t>
  </si>
  <si>
    <t>A la fecha, se ha avanzado un 10%. En el mes de junio firmó el Decreto que regula y gestiona la contribución por estacionamiento de vía. Desde la Subdirección de Planificación del territorio se está acompañando a otras dependencias de la administración para establecer la hoja de ruta y actividades previas a la implementación.</t>
  </si>
  <si>
    <t>A 30 de junio de 2024 se avanzó en el inventario de estudios detallados disponibles, en la evaluación del marco normativo aplicable a su incorporación en el POT, en la definición de áreas que requieren estudios detallados, en la propuesta de los alcances y productos de los estudios a llevar a cabo y se produjo un primer borrador de DTS para la incoporación en el POT de esos estudios</t>
  </si>
  <si>
    <t>A 30 de junio de 2024 y dentro del plazo previsto en las normas aplicables, se emitieron 216 conceptos sobre condiciones de amenaza / riesgo por fenómenos naturales peligrosos</t>
  </si>
  <si>
    <t>A la fecha.Se elaboraron varias versiones de la organización territorial por localidades para la reglamentación de Cali Distrito, las cuales serán puestas a disposición del equipo técnico del DAP para su discusión y ajuste.</t>
  </si>
  <si>
    <t xml:space="preserve">A la fecha. Se ajustó el Documento Técnico de Soporte preliminar según las versiones presentadas, el cual contiene el análisis de variables territoriales para cada una de las versiones. </t>
  </si>
  <si>
    <t xml:space="preserve">Durante el primer semestre de la vigencia 2024, se realizó por parte del equipo una revisión y se construyó un diagnóstico de las políticas públicas con las que se cuenta en el distrito de Santiago de Cali el cual es base para poder definir las apuestas estrategias que tienen como fin potenciar el desarrollo de las 4 vocaciones de Cali Distrito Especial. Así mismo se avanzó en la revisión de fuentes primarias (literatura) existente relacionada con las apuestas de distritos especiales. También se realizó la revisión que tiene Cali Como Vamos en materia de las apuestas de ciudad, para su posterior análisis. </t>
  </si>
  <si>
    <t>A la fecha se tiene un avance de 12%. Se formuló y adoptó la siguiente reglamentación:
- REGLAMENTACIÓN DE APORTES URBANÍSTICOS POR MAYOR EDIFICABILIDAD Y COMPENSACIÓN POR ESTACIONAMIENTOS ADICIONALES
Adicionalmente, se ha avanzado en la formulación las siguientes reglamentaciones:
- PROCEDIMIENTO PARA LA FORMULACIÓN, APROBACIÓN, IMPLEMENTACIÓN Y SEGUIMIENTO DE LOS PLANES ESPECIALES DE MANEJO Y PROTECCIÓN DE BIENES DE INTERÉS CULTURAL DEL ÁMBITO DISTRITAL – PEMPD
- LAS ACTUACIONES DE LOS ORGANISMOS DISTRITALES PARA LA RECEPCIÓN, REVISIÓN, ANÁLISIS Y SEGUIMIENTO DE LOS PROYECTOS DE ASOCIACIÓN PÚBLICO PRIVADA
Las reglamentaciones anteriormente citadas, fueron presentadas y evaluadas por cada uno de los organismos competentes, de los cuales ya cuentan con el respectivo visto bueno.
Adicionalmente, los borradores de acto administrativo fueron publicados y dados a conocer mediante la página web del municipio y a la comunidad en general, como parte del respectivo procedimiento, para atender observaciones y/o sugerencias.</t>
  </si>
  <si>
    <t xml:space="preserve">A la fecha se avanzó un 5% de la meta con relación a:
-Revisión de los insumos disponibles para el desarrollo de los productos necesarios en el proceso de actualización del POT y la elaboración del balance con el propósito de identificar la información requerida.
-Alistamiento de documentos e insumos para la evaluación de los aspectos a tener presentes en el marco del proceso de revisión y ajuste del POT.
-Elaboración de informe por parte del EXMU a partir de información allegada por parte de los organismos de la admon pública con relación a la implementación del POT. Adicionalmente, se avanzó mediante la elaboración del diagnóstico ambiental del territorio respecto a la información existente y la requerida en el marco de la revisión y ajuste del POT.
</t>
  </si>
  <si>
    <t>A la fecha se avanza el 0.1% en la revisión y consolidación de la información territorial, la evaluación de observaciones normativas y la elaboración de cartografía de análisis temáticos. Estas actividades han permitido actualizar el diagnóstico territorial, asegurando la integridad y precisión de los datos</t>
  </si>
  <si>
    <t xml:space="preserve">A la fecha se avanza el 0.1% en las actividades de revisión de las observaciones presentadas por la Corporación han sido completadas, aunque la programación de acercamientos técnicos con la CVC no se ha reactivado, lo que es esencial para la concertación ambiental de la UPR 5. </t>
  </si>
  <si>
    <t>A la fecha se avanza el 0,2% en recopilación de información, evaluación de lineamientos técnicos e iniciar el alistamiento de datos necesarios para el seguimiento de los proyectos integrales en las unidades de planificación adoptadas</t>
  </si>
  <si>
    <t>Estudio complementario para la implementación de la autoridad regional de transporte – ART y ente gestor del tren de cercanías, elaborados</t>
  </si>
  <si>
    <t xml:space="preserve">Apoyo para la implementación de la Autoridad Regional de Transporte - ART Cali </t>
  </si>
  <si>
    <t>BP26003420</t>
  </si>
  <si>
    <t>BP2600342010101</t>
  </si>
  <si>
    <t xml:space="preserve">Estudio complementario para la implementación de la autoridad regional de transporte – ART y ente gestor del tren de cercanías, elaborados </t>
  </si>
  <si>
    <t>Realizar 1 estudio de preinversión</t>
  </si>
  <si>
    <t>Estudios de preinversión elaborados</t>
  </si>
  <si>
    <t>De acuerdo con lo estipulado en la Cláusula quinta del Convenio Interadministrativo No. 1.310.02.20-0566 y en cumplimiento de la obligación de realizar el traslado de recursos correspondientes a los aportes del Distrito a la Región de Planeación y Gestión – Autoridad Regional de Transporte de la Aglomeración Suroccidental de Colombia en el Valle del Cauca – RPG-ART-ASOVC, el Departamento Administrativo de Planeación, realizó los trámites correspondientes.</t>
  </si>
  <si>
    <t>A la fecha. En el marco del apoyo administrativo al Consejo Municipal de Planeación (CMP), se brindó acompañamiento y apoyo para la realización de 2 reuniones ordinarias y 2 reuniones extraordinarias, para cada una de ellas se constató que tanto el auditorio como los equipos de ayuda estuvieran disponibles para su uso. Tambien se realizó le respectivo trámite para el encargo de refrigerios solicitados por parte de la presidenta del CMP.</t>
  </si>
  <si>
    <t xml:space="preserve">A la fecha. Se actualizó tablero de control de seguimiento a PDD 2020-2023.Se realizó ajustes a PI de organimos en el el proceso de formulación PDD cono insumo para el proceso de seguimiento. Se actualizó los tableros de control de los 37 PDCC 2020-2203. Se realizo seguimiento presupuestal a la ejecución  de proyectos articulados a presupuesto participativo y se estructuró la matriz estrategica del PDCC para las 22 comunas y 15 corregimientos, como insumo para el seguimiento posterior a la adopcion del mismo.
Se creó la BD del plan de acción 2024 a partir del cuadro 1F, esta información es para el cargue en la plataforma DARUMA. Se realizó el seguimiento al Plan de Acción para cada una de las vigencias hasta el primer trimestre de 2024 y se realizó el documento de evaluación del Plan de Desarrollo del Distrito de Santiago de Cali 2020-2023, ambos se publicaron en la página web. </t>
  </si>
  <si>
    <t>Por medio de la Comisión de Plan y Tierras se estudió el proyecto de acuerdo del PD constituido por 3 propósitos y 6 retos. Se acompaño las mesas técnicas realizadas por el Concejo Distrital, donde cada organismo presentó sus metas e indicadores. El 28 de mayo fue aprobado el Plan de Desarrollo por el Concejo Distrital y mediante el Acuerdo 0578 se adopta el PD. Se realizó acompañamiento técnico para la formulación de los 22 Planes de comunas y de los 15 Planes de corregimientos. Se recibió acuerdos locales emitidos por la JAL y se sistematizo las matrices estrategicas revisando que estén acorde con la participación ciudadana</t>
  </si>
  <si>
    <t>En conjunto con el estudio del proyecto de acuerdo, se realizaron mesas de trabajo con los organismos para estudiar las proposiciones realizadas desde los concejales e incorporar algunas de ellas dentro del Plan de Desarrollo. Por medio del anexo 14 y anexo 20 se define los indicadores de productos y el alcance de las metas. Con los acuerdos locales de cada una de las comunas y corregimientos, se recibe los planes indicativos y financieros. Esta información se consolidada en el PI y el PPI, y se socializó mediante audencia pública.</t>
  </si>
  <si>
    <t xml:space="preserve">A la fecha, se modificó la guía metodológica para la formulación, implementación, seguimiento y evaluación, ajustando su contenido de forma más sintetica. </t>
  </si>
  <si>
    <t>A la fecha, se brindó asistencia técnica a 85 personas; que responden a ejercicios de política de seguridad (6), paz y reconciliación (6), bienestar social (6), temas referentes al acoso sexual (27), Primera infancia (10), evaluación de las políticas SSAN y CaliAfro (12), actualización de  Cali Diversidad y Discapacidad (9), ajuste de la política de recicladores (4), formulación de las políticas de la SDTYPC (3) y seguimiento de DDHH (7) y salud mental (1).</t>
  </si>
  <si>
    <t xml:space="preserve">A la fecha, se revisa la trazabilidad de ejecución y los referenciales de la política pública Cali Afro en el periodo 2020 - 2023, así como el contenido de su Acuerdo. </t>
  </si>
  <si>
    <t>Encuestar 86,607 hogares en Sisbén</t>
  </si>
  <si>
    <t>Con un avance del 32,3% entre enero a junio de 2024, se realizaron las siguientes encuestas, al 30 de abril de 2024 se han realizado 28.747 encuestas efectivas, discriminadas de la siguiente manera: enero 1.966, febrero 4.897, marzo 10.155 y abril 11.729,  a partir de mes de mayo de 2024, el indicador empieza a medirse por número de hogares encuestados de acuerdo al convenio Interadministrativo número 4132.010.27.1.376-2024, discriminadas de la siguiente manera: mayo 5.587 hogares encuestados y junio 5.588 hogares encuestados, para un total de 39.922.</t>
  </si>
  <si>
    <t>Al mes de Junio se visitó los once (11) puntos de atención con con el fin de verificar el cumplimiento y la atención a la comunidad, así mismo se dio apertura a un nuevo punto de atención ubicado en Centro Integrate Cali - donde atienden solo los miércoles.</t>
  </si>
  <si>
    <t>A la fecha, Se realizó procesamiento y análisis de la información recopilada relacionada con la identificación de necesidades y requerimientos de información basados en imágenes satelitales para los organismos de la entidad.
Se elaboró el procesamiento y análisis de la información para la actualización de la caracterización de los observatorios de la Alcaldía distrital de Santiago de Cali.</t>
  </si>
  <si>
    <t>A la fecha, Se realizó el cargue en el software DARUMA del documento metodológico del observatorio de educación, se ajustó  la estructura del documento a la guía para el diseño e implementación de un observatorio MEDE01.07.01.P008 y se revisó a partir de los lineamientos el diseño conceptual y metodológico para la implementación del observatorio de educación.
Se dio respuesta a solicitud realizada por la Secretaría de Movilidad por medio del oficio N° 202441320400010704 Asunto: Respuesta a inventario de observatorios con documento metodológico.</t>
  </si>
  <si>
    <t>A la fecha, Se actualizó el inventario de OOEE, a partir de las respuestas a las circulares enviadas a los diferentes organismos de la Alcaldía, a partir de esa información se realizó el proceso de actualización correspondiente a las OOEE que se manejan actualmente en la entidad.</t>
  </si>
  <si>
    <t>A la fecha, Se identificó la oferta de indicadores y operaciones estadísticas a disposición dentro de los sistemas generadores y almacenadores de información, como es el Archivo Municipal de Datos – AMDA, el Sistema de Indicadores Sociales – SIS y Cali en Cifras, donde definió grupos observables de áreas temáticas para el seguimiento permanente de la producción de la información estadística.
Se estructuró el proceso técnico, metodológico y financiero que permitirá realizar ajustes transversales en los sistemas generadores y almacenadores de información, como es el Archivo Municipal de Datos – AMDA, el Sistema de Indicadores Sociales – SIS y Cali en Cifras, para cumplir el permanente monitoreo de mejora de la visualización de la información estadística.</t>
  </si>
  <si>
    <t xml:space="preserve">A la fecha. Se realizó la validación y actualización de lados de manzana urbanas, y actualizacion de la BD Rural con los resultados de las visitas de campo, de acuerdo con las  solicitudes atendidas por la plataforma SAUL ( acumulado a 30 de junio 700), las cuales ya están incluídas en la BD Alfanumérica y geograficas (urbana, rural y expansión). </t>
  </si>
  <si>
    <t xml:space="preserve">A la fecha. Se avanzó en la elaboración de 70 actos administrativos de revisión de estrato, se realizó la sesión del CPE correspondiente al mes de Junio en la cual se atendieron 4 recursos de apelación. Para el cierre de junio de 2024, se lleva un acumulado de 842 documentos con lineamientos de fondo elaborados. De igual manera se realizó la cancelación de honorarios y visitas a los miembros del CPE. </t>
  </si>
  <si>
    <t>Desde el mes de enero a la fecha, se han actualizado 80000 registros de nomenclatura en la base de datos de SAUL, en el mes de junio se actualizaron 250 y se revisaron 5,000 direcciones en propiedad horizontal de las Comunas 02, 19 y 22. Se actualizó el sistema de nomenclatura vial en la zona de expansión  y se corrigieron inconsistencias como insumo para apoyo de la herramienta de Geocodificador de direcciones de Planeación</t>
  </si>
  <si>
    <t>Se implementaron 5 nuevos servicios web geográficos que corresponden a:  2 servicio en la plataforma ArcGIS Enterprise (SIG Regional del grupo Marco de referencia geodésico y DAP del grupo Red de Control Geodésico), 1 servicio WMS y WFS del Taller de Espacio Público y 2 servicios en el portal de Datos Abiertos Cali (siete conjuntos del PGIRS del grupo Prestación Servicio Público Aseo). 
Se generaron 3 nuevos productos geográficos que corresponden a:  1 mapa interactivo Mapa interactivo de Reglamentación de Esquemas Básicos y Líneas de Demarcación (uso exclusivo DAP) y 2 conjuntos de metadatos geográficos (Red de Control Geodésico y mapa interactivo SIG Regional).</t>
  </si>
  <si>
    <t xml:space="preserve">A la fecha se realizó la revisión técnica de los estudios de Anteproyecto del Boulevard de San Antonio y se encuentra en revisión la viabilidad jurídica y financiera para la continuidad de los estudios complementarios </t>
  </si>
  <si>
    <t>A la fecha, Se esta a la espera de continuar las reuniones de aticulación con la distintas organismo.</t>
  </si>
  <si>
    <t>Se realizó programa anual de mantenimiento del laboratorio. Se realizó programa de ejecución de monitoreos (caracterizaciones de aguas y análisis de laboratorio). Se realizó mantenimiento y limpieza de los equipos del laboratorio. Se actualizó inventario del estado de equipos del laboratorio. Se realizaron verificaciones internas para aseguramiento de los resultados de las mediciones de los equipos del laboratorio. Se realizaron visitas de mantenimiento, limpieza y verificación de las estaciones de monitoreo de calidad de agua superficial.. Se realizaron caracterizaciones de agua de los ríos Aguacatal, Cali, Cañaveralejo, Lili, Melendez y Pance.</t>
  </si>
  <si>
    <t>Se realizaron actividades de actualización del sistema de gestión a la actual versión de la NTC ISO/IEC 17025:2017. Se actualizaron los procedimientos e instructivos del laboratorio. Se realizaron capacitaciones sobre la nueva versión de la norma 17025:2017. Se realizó capacitación al personal formandolos para ser auditores internos del sistema de gestión. Se realizó auditoría interna al sistema de gestión del laboratorio verificando estado de implementación de la norma. NTC ISO/IEC 17025</t>
  </si>
  <si>
    <t xml:space="preserve">Se presentó  avance en la ejecución de la  actividad con 100  seguimiento y control a usuarios del recurso hídrico, realizado. </t>
  </si>
  <si>
    <t>Realizar 135 documentos (conceptos) técnicos ambientales para la gestión integral del recurso hídrico.</t>
  </si>
  <si>
    <t>Se presentó  avance en la ejecución de la  actividad en un 8%:   En relacion a conceptos técnicos ambientales para la gestión integral del recurso hídrico.</t>
  </si>
  <si>
    <t>Realizar 11 documentos de Regulación de impactos ambientales generados por fuentes fijas de empresas legalmente constituidas</t>
  </si>
  <si>
    <t>En el periodo enero – junio de 2024 se realizaron 48 informes técnicos de incumplimiento a la norma de vertimientos. Por otra parte, se recibieron 15 solicitudes de exoneración de vertimientos y 4 planes de mejoramiento. Adicionalmente, se han atendido 4 peticiones correspondiente al sector empresarial.</t>
  </si>
  <si>
    <t>Diseño e implementación del Centro de Monitoreo Ambiental de Santiago de Cali</t>
  </si>
  <si>
    <t>BP26004563</t>
  </si>
  <si>
    <t>BP2600456310101</t>
  </si>
  <si>
    <t>Actualizar 2 bases ded datos de monitoreo ambiental</t>
  </si>
  <si>
    <t>Bases de datos de monitoreo ambiental actualizadas</t>
  </si>
  <si>
    <t>BP2600456310201</t>
  </si>
  <si>
    <t>Implementar un sistema de informarmación</t>
  </si>
  <si>
    <t xml:space="preserve">En el periodo a 30 de junio de 2024, se atendieron cinco (5) solicitudes efectuadas por pequeños productores rurales. </t>
  </si>
  <si>
    <t>BP2600280410101</t>
  </si>
  <si>
    <t>Estrategias educativo ambientales y de participación implementadas</t>
  </si>
  <si>
    <t xml:space="preserve">En el periodo marzo – junio 2024 se avanzo enla elaboracion del cronograma dela implementacion de  las estrategias ambientales </t>
  </si>
  <si>
    <t>En el periodo enero – junio 2024 se estableció la línea base de las huertas que se encuentran activas, tano de las realizadas por el DAGMA como de otras dependencias de la Alcaldía. 
Se intervinieron 21 huertas en 3 componentes (Buenas prácticas, Manejo de arvenses e insectos y Elaboración de Biopreparados). Se articuló con 6 instituciones educativas en apoyo a PRAES.
Retrasos en proceso precontractual no permitió consolidar el grupo de huertas durante el trimestre de abril - junio 2024.</t>
  </si>
  <si>
    <t xml:space="preserve">Adecuar 1 parque (5847 metros cuadrados) en Santiago de Cali. </t>
  </si>
  <si>
    <t xml:space="preserve">Adecuar 1 zona verde (separador 3895 metros cuadrados) en Santiago de Cali. </t>
  </si>
  <si>
    <t>Espacio público adecuado</t>
  </si>
  <si>
    <t>Al 30 de junio  se realizó la planificacióny gestion contractual de las 13 intervenciones en parques, separadores y zonas verdes programadas por presupuesto participativo en el POAI 2024. Por otra parte, se avanzó en el seguimiento a 4 zonas blandas, separadores, parques y zonas verdes pendientes de ejecución (dichos pendientes corresponden a vigencias anteriores). Se realizó el seguimiento intervenciones en ejecución ( Cristo Rey), se visitaron y evaluaron el componente ambiental de nuevos emplazamientos y se realizaron los documentos de planeación para la armonización del PD</t>
  </si>
  <si>
    <t>En el marco de la asistencia técnica para el control de hormiga arriera, al corte 30 de junio de 2024 se realizaron 6 caracterizaciones e intervenciones a nidos para control de la hormiga arriera (Atta cephalotes) para la sostenibilidad ambiental y paisajística en parques y zonas verdes de espacios públicos. Se realizaron mesas de trabajo con distintas empresas  para articulación interinstitucional desde el programa de adopción de zonas verdes sobre 20 espacios públicos de interés</t>
  </si>
  <si>
    <t>BP2600438710101</t>
  </si>
  <si>
    <t xml:space="preserve">Adecuar 1 zonas verde adecuadas  (15700 metros cuadrados) en Santiago de Cali. </t>
  </si>
  <si>
    <t>Implementar en 2245  ha el esquema de pago por Servicios ambientales.</t>
  </si>
  <si>
    <t>A junio 30 se ha realizado la formalización de 33 Acuerdos voluntarios los cuales consideran un área total de 1.543,92 hectareas en las cuales se realizarán acciones de conservación para mantener y mejorar los servicios ambientales que proveen dichos ecosistemas estratégicos.  Proceso que muestra la aplicación del incentivo PSA.</t>
  </si>
  <si>
    <t>Capacitar 300 personas en conservación de biodiversidad y servicio ecosistémicos.</t>
  </si>
  <si>
    <t>Al 30 de junio se realizó  reunión de articulación con grupos de trabajo de DAGMA para definir y llevar a cabo estrategias, actividades y proyectos que promuevan la sostenibilidad de las acciones de conservación por parte de los beneficiarios del PSA.</t>
  </si>
  <si>
    <t>Se avanzó la elaboración de estudios previos y análisis del sector para la contratación del mantenimiento de la restauración activa y pasiva en los predios de conservación del DAGMA. De igual anera, se realizan actividades de seguimiento y mantenimiento a lo procesos de restauración a través del personal de campo.</t>
  </si>
  <si>
    <t>Se realizó seguimiento a los predios de conservación administrados por el DAGMA y/o de propiedad del Distrito. Se cuenta con poco personal de campo. Se unificó la compra de herramientas, insumos y suministros la cual se encuentra en proceso de adjudicación. Se encuentra en proceso de adjudicación el levantamiento topográfico de predios.</t>
  </si>
  <si>
    <t>Se realizó la identificación, planeación y ejecución de acciones para el mantenimiento, control y seguimiento del proceso de restauración en humedales públicos de Santiago de Cali en 16 hectáreas.</t>
  </si>
  <si>
    <t>Capacitar 311230 personas para el posicionamiento del SIMAP.</t>
  </si>
  <si>
    <t>Realizar 790 servicios de asistencias técnicas mediante jornadas de limpieza de cauce y riveras.</t>
  </si>
  <si>
    <t xml:space="preserve">Al corte30 de junio  de 2024, Se  adquiriendo el servicio de vigilancia para el predio donde se desarrolla el proyecto del Ecoparque. Esto con el fin de proteger la zona de invasiones u otras acciones que involucren la seguridad de las obras que se desarrollan en el lugar. </t>
  </si>
  <si>
    <t>Prestar servicios de educación informal a 200 personas en el marco de la conservación de la biodiversidad y los servicios ecosistémicos</t>
  </si>
  <si>
    <t xml:space="preserve">Al corte 30 de junio 31 de 2024, Se avanzo en la  revision de  las actividades asociadas al producto (revisión de cadena de valor) con el propósito de programar proceso de ejecución del mismo.   </t>
  </si>
  <si>
    <t>En el periodo enero – junio de 2024 el DAGMA programó 45 emergencias arbóreas y tala de árboles en riesgo.</t>
  </si>
  <si>
    <t>Se realizaron mesas de trabajo con diferentes actores del arbolado urbano para el desarrollo de documentos técnicos:
1. Con EMCALI para la construcción del protocolo para el manejo de árboles energizados.
2. Con EMSIRVA y UAESP para el manejo de árboles atendidos por empresas prestadoras de aseo.</t>
  </si>
  <si>
    <t>Al corte 30 de junio de la presente vigencia (2024), se realizó la propagación técnica de 78.36 individuos vegetales durante el periodo .</t>
  </si>
  <si>
    <t>Los enlaces ambientales desarrollaron estrategias educativo-ambientales en articulación con los representantes de cada uno delos 22 Comités Ambientales Comunitarios que conforman el SIGAC.
Se realizó la segunda sesión ordinaria del SIGAC.</t>
  </si>
  <si>
    <t>Técnicos UMATA apoyaron la conformación de comités y la selección de representantes para el CDMR.  Se apoyó la realización de mesas técnicas.
Se instalo el CDMR, con el aval de los 15 corregimientos cumplimiendo con los requisitos establecidos.</t>
  </si>
  <si>
    <t>Realizar 32 operativos de control y vigilancia al recurso de fauna silvestre.</t>
  </si>
  <si>
    <t>En el periodo enero – junio de 2024 el DAGMA ejecutó 29 operativos de control y vigilancia al tráfico ilegal de especies. Se han adelantado operativos de control y vigilancia al tráfico ilegal de fauna silvestre, junto policía ambiental en el Terminal de Cali, Galería Sta. Helena, Galería La Alameda, Cali - Candelaria (Juanchito), km 7 vía al mar, logrando como resultado la Aprehensión Preventiva de 4 aves (3 Psittacara wagleri, 2 Amazona amazónica, 3 Amazona ochrocephala, 1 Crotophaga ani), 2 reptiles (Rhinoclemmys melanosterna), 5 libras de raya, 3 kilogramos de toyo. Se continua normalización de datos y migración de archivos físicos a la plataforma de fauna silvestre, mediante desarrollo de aplicativos móviles 2024 para el personal de IVC.</t>
  </si>
  <si>
    <t xml:space="preserve">En el periodo enero – junio de 2024 el DAGMA ejecutó 382 Acciones   de protección a fauna silvestre y especies exóticas invasoras, incluyendo 122 visitas de control a himenópteros, 29 visitas de control a establecimientos de comercio, 64 visitas de control de caracol africano, 9.478 caracoles recolectados, 317 personas sensibilizadas, 40,5 kilogramos de caracoles entregados al Centro de Zoonosis. Participación activa como colaboradores del Proyecto de Investigación con Universidad del Valle, Universidad Santiago y Minciencias Fondo Regalías para el Control de Especies Exóticas Invasoras. Limitantes: Falta de personal para atender el número de solicitudes que radicadas que demandan atención urgente, principalmente lo concerniente a himenópteros dado el peligro que representa para la comunidad donde se presenta interacciones negativas con esta especie. </t>
  </si>
  <si>
    <t>Se prestó el servicio de protección a la Fauna Silvestre. Al corte30 de junio 31 de 2024, se brindó atención, valoración, suministro alimentario y de medicamentos a 385 individuos de fauna silvestre albergados y cuidados en el hogar de paso. Individuos producto de rescates, entregas voluntarias, decomisos e incautaciones.</t>
  </si>
  <si>
    <t>Realizar 37 servicios de control y vigilancia al tráfico ilegal de especies</t>
  </si>
  <si>
    <t xml:space="preserve">Los operativos  a empresas forestales y en carretera  aumentaron debido a la contratacion de prestadores de sercvicios , ya con el personal adecuado se logro avazar en la meta. </t>
  </si>
  <si>
    <t>BP2600280610101</t>
  </si>
  <si>
    <t>Capacitar a 20000 personas en  educación informal ambiental</t>
  </si>
  <si>
    <t xml:space="preserve">Se realizó articulación con otros organismos de la Alcaldía y alianzas con colegios, colectivos ciudadanos, organizaciones y otros actores para desarrollar acciones en el marco de la implementación de la Política Nacional de Educación Ambiental. Participación del CIDEA Distrital y Dptal.
Articualción con Universidad Nacional de Colombia para la realización de la Catedra Ambiental con líderes de Cali, Palmira y alrededores. </t>
  </si>
  <si>
    <t>Se desarrolló estrategias educativo-ambientales y de formación con enlaces ambientales de las 22 comunas de Cali participando en diferentes espacios con grupos de valor y ciudadanía en general.
Se realizó Comité de Ecobarrios para determinar necesidades para fortalecimiento.</t>
  </si>
  <si>
    <t>BP2600280610401</t>
  </si>
  <si>
    <t xml:space="preserve"> Divulgar 1 Política Nacional de Educación Ambiental y participación</t>
  </si>
  <si>
    <t>Campañas de educación ambiental y participación implementadas</t>
  </si>
  <si>
    <t>Se promueve la política de educación ambiental y la gobernanza y la participación, a través de los 22 enlaces ambientales presentes en las 22 comunas de Cali.</t>
  </si>
  <si>
    <t>Se avanzo con desarrollo de actividades de control, vigilancia y Gobernanza en los CIR.</t>
  </si>
  <si>
    <t>Efectuar 1128 asistencias de  inspección, vigilancia y control a la gestión integral de residuos solidos.</t>
  </si>
  <si>
    <t>A junio de 2024, el DAGMA, realizó 552 asistencias para la inspección, vigilancia y control de residuos sólidos en la zona urbana. En este sentido se efectuaron visitas a generadores de residuos sólidos como: establecimientos de comercio, generadores de RCD, desarrollos multifamiliares, bodegas de reciclaje, sector residencial, generadores de RESPEL, entre otros.</t>
  </si>
  <si>
    <t>Al corte 30 de junio de 2024, se ha avanzado en seguimiento de empresas con patrones de producción y consumo sostenible. Se han realizado 25 capacitaciones como actualización en normatividad y se articuló con EMCALI para una capacitación sobre uso racional y eficiente de la energía. de igual manera se avanzo conla elaboracion de 3 Documentos normativos en el marco de la incorporación de variables ambientales</t>
  </si>
  <si>
    <t>Prestar 30 servicios de asistencia técnica para la incorporación de varibales ambientales en la planificación sectorial</t>
  </si>
  <si>
    <t>Prestar 50 servicio de asistencia técnica para la consolidación de negocios verdes</t>
  </si>
  <si>
    <t xml:space="preserve">A junio 30 del 2024, se prestaron asistencia tecnica a 12 50 servicio de asistencia técnica para la consolidación de negocios verdes   </t>
  </si>
  <si>
    <t>BP2600259110301</t>
  </si>
  <si>
    <t>Elaborar 1 Documentos normativos para el lineamientos técnicos para el fortalecimiento del desempeño ambiental de los sectores productivos</t>
  </si>
  <si>
    <t xml:space="preserve">Elaborar 363 documentos de lineamientos técnicos para  promover buenas prácticas ambientales sector constructivo. </t>
  </si>
  <si>
    <t>Al corte30 de junio 31 de 2024, de la presente vigencia , se expidieron:
 - 3 respuestas a Conceptos Ambientales de Obra (Instrumento control ambiental a proyectos).
 - 2 conceptos ambientales/EIR.
 - 15 documentos de determinantes ambientales.
 - 15 documentos de visita técnica con información de lo observado, lineamientos y compromisos para el desarrollador. 
TOTAL: 35 documentos técnicos.  
El avance obtenido está restringido por el proceso de contratación y las dinámicas del sector de la construcción.</t>
  </si>
  <si>
    <t>Se realizó la atención administrativa de cuarenta y siete (12) solicitudes mediante verificación de documentación y realización de visita técnica ambiental. Se verificó el impacto generado por los establecimientos mediante visitas técnicas realizadas .</t>
  </si>
  <si>
    <t>Se proyectaron19 conceptos técnicos,  ambientales de las visitas restantes realizadas.</t>
  </si>
  <si>
    <t>BP2600262910101</t>
  </si>
  <si>
    <t>Pilotos con acciones de mitigación y adaptación al cambio climático desarrollados</t>
  </si>
  <si>
    <t>Realizar 644 asistencias de inspección, vigilancia y control a fuentes fijas generadores de ruido.</t>
  </si>
  <si>
    <t>Al corte 30 de junio de la presente vigencia (2024) se realizaron actividades de: 
- Coordinación de visitas técnicas de inspección y evaluación de factores de riesgo en diferentes sitios de la ciudad.
- Construcción de un inventario de obras de reduccion del riesgo realizadas con sobretasa ambiental entre 2017-2024.
- Recopilación y análisis de reportes de los guardaríos de situaciones ambientes identificados en los ríos Aguacatal, Cali, Cañaveralejo, Meléndez y Lili. 
- Inspección de las Estaciones de la Red Acelerógrafos de Cali.
- Activación y consolidación de 2 sistemas comunitarios de alertas tempranas (Comuna 20 y Corregimiento de Los Andes)
- Elaboración y revisión de conceptos de estudios de suelos y determinantes ambientales de proyectos urbanísticos.
Para 2024 no se reporta avance  dado que este proyecto  dio cumplimiento al 100% en el 2023, En 2024 se adicionaron recursos para seguir avanzando en las actividades planteadas del proyecto.</t>
  </si>
  <si>
    <t xml:space="preserve">Al corte 30 de junio  de 2024 se iavanzó en el proceso de levantamiento de la información, se requiere establecer los grupos misionales se deben elaborar procedimientos de las actividades que desarrollan. Avance del proceso: 10% según cronograma establecido para la presente vigencia (2024). </t>
  </si>
  <si>
    <t xml:space="preserve">Documentos diagnóstico realizados </t>
  </si>
  <si>
    <t>Al corte30 de junio de 2024,se avanzó en la solicitud de información a los grupos misionales del DAGMA y a otras instituciones de interés para actualizar los indicadores ambientales, que son los insumos para la generación del Documento Anual del Estado de los Recursos Naturales de Cali. Avance del documento: 26% (según cronograma de trabajo).</t>
  </si>
  <si>
    <t>BP2600294610103</t>
  </si>
  <si>
    <t xml:space="preserve">Realizar un (1) Documento para la planificación sectorial y la gestión ambiental  </t>
  </si>
  <si>
    <t>Documentos técnicos para la planificación sectorial y la gestión ambiental formulado</t>
  </si>
  <si>
    <t>Se brindó apoyo técnico en la preparación de documentos para 3 equipamientos urbanos inteligentes (2 semáforos y 1 pérgola solar) en el parque Bulevar de Oriente y Cristo Rey, en la revisión y análisis de registros de sensores meteorológicos y ambientales en la pérgola solar de Bulevar Oriente, y en la elaboración de informes de calidad de datos, todo con el fin de apoyar la Gestión del Conocimiento en Cultura y Apropiación Social de la Ciencia e Innovación</t>
  </si>
  <si>
    <t xml:space="preserve">
Al 30 de junio se encuentran en operación 52 de las 63 Zonas Wifi-Públicas (ZWP) distribuidas en el área urbana y rural del Distrito de Cali. Las 11 ZWP fuera de operación se deben principalmente a daños en la fibra óptica, el sistema eléctrico y restricciones de operación en el Polideportivo. Se están realizando las gestiones necesarias para la pronta reanudación del servicio en las ZWP afectadas.
Se integraron las solicitudes de las juntas de acción comunal y los planes de renovación urbana para la definición de las nuevas zonas Wifi.
Del mes de enero a junio del 2024 se beneficiaron 102.365 usuarios con las 52 zonas wifi en funcionamiento.
</t>
  </si>
  <si>
    <t>Se finalizaron 11 formaciones y 2 talleres que dieron inicio en el mes de abril para el ciclo I de cursos gratuitos TIC. Éstas fueron ofertadas a la comunidad y a alianzas con grupos cerrados, como la Fundación Alvaralice y el proyecto Rumbo Joven. De las anteriores, se formaron 353 personas; 321 a través de la estrategia presencial desarrolladas en la Red de Laboratorios y Puntos de Apropiación Digital de la ciudad, donde un Gestor TIC se encarga de dictarlas y 32 personas que hicieron uso de estrategia virtual a través de videoconferencias, de igual manera brindadas por un Gestor TIC. Adicionalmente, se realizó la promoción, inscripción y matrícula para las formaciones del ciclo II de cursos gratuitos TIC. Para esto, se desplegaron 9 que se desarrollarán con estrategia presencial y 3 a través de estrategia virtual. Adicionalmente, se registraron 560 personas que utilizaron tecnologías de la información y la comunicación TIC.</t>
  </si>
  <si>
    <t>Se adelantaron actividades de planeación para las reparaciones locativas de los LID y PAD</t>
  </si>
  <si>
    <t xml:space="preserve">Se avanzó en el mes de abril a junio en la ejecución de los procedimientos del subproceso de Dinamizar el Ecosistema de Innovación Digital, así:
- Procedimiento 2: "Planificación de la oferta de servicios"
- Procedimiento 4: "Prestación de servicios presencial en los LID y PAD".
- Procedimiento 5: “Gestión de Alianzas con los actores”
Se avanzó en la planificación de las reparaciones locativas de los LID y PAD. Se encuentran 31 espacios operando, entre Laboratorios de Innovación Digital y Puntos de Apropiación Digital. No operaron 2 espacios, ellos son: PAD Centro Cultural Comuna 18 y PAD León de Greiff.
</t>
  </si>
  <si>
    <t>se ejecutó el cronograma de jornadas de sensibilización enfocadas en fomentar el diseño e implementación de prototipos de ciudad, estas actividades se realizaron en coordinación con los Organismos de la Entidad para la Gestión de la Innovación Digital. Se actualizó el documento de seguimiento a prototipos de ciudad que resuelven problemáticas de la comunidad, basado en las respuestas obtenidas por parte de los Organismos pertinentes, se realizó un seguimiento específico al prototipo “Apropiación del espacio público por medio de las TIC – DATIC”. Adicionalmente, se llevaron a cabo reuniones con Organismo para sensibilizarlos sobre el subproceso Gestión de la investigación y Prototipado, con el objetivo de validar el impacto en sus proyectos.</t>
  </si>
  <si>
    <t xml:space="preserve">Las labores de mantenimiento lógico preventivo y correctivo realizado por el equipo técnico de la REMI, logró incrementar el porcentaje de disponibilidad del servicio de la red al 98%. Se realizó soporte especializado  en 140 de los 1951 puntos de acceso de la red. Por decisiones administrativas de la secretaria de Seguridad y Justicia el monitoreo de las conexiones para el sistema de cámaras de seguridad de la Ciudad ya no es realizado por DATIC por lo tanto es responsabilidad de ese organismo los 1811 puntos de acceso a la red garantizando la totalidad de 1951.
</t>
  </si>
  <si>
    <t xml:space="preserve">
En la Estrategia 1 “Botón de Transparencia” se avanzó en la planeación y diseño, incluyendo el documento del micrositio de transparencia, una rúbrica y encuesta de percepción y el informe de la encuesta. La Estrategia 2 “Boletín Oficial” No se avanzo por priorizacion por Secretaría de Gobierno en otros procesos.   se realizaron sensibilizaciones a los gestores relacionada a La herramienta MARI y una charla sobre "Hábitos de Seguridad Digital a la ciudadania".</t>
  </si>
  <si>
    <t>49.5%</t>
  </si>
  <si>
    <t>Durante este trimestre se realizaron contrataciones, se ajustaron planes y presupuestos de proyectos, y se emitieron reportes financieros. Se gestionaron contrataciones, desembolsos, asesorías legales y comunicados para auditorías fiscales. Se promovieron iniciativas de desarrollo tecnológico y bienestar laboral. Se cumplió con el reporte del plan de mejoramiento tras la auditoría de cierre fiscal. La Subdirección de Tecnología revisó varios procesos y ajustó el Mapa de Riesgos. Se atendió la revisión del autodiagnóstico de la ISO 9001:2015. Se avanzó en la aprobación del plan de trabajo, actualización de activos tecnológicos según la Guía 27002:2022, y promoción de seguridad digital. Se fortaleció la gestión documental, se presentaron indicadores, se ajustaron procedimientos en DARUMA, se gestionaron actividades presupuestales y se adjudicaron contratos para mantenimiento de licencias de Google</t>
  </si>
  <si>
    <t>Se continúa con la operación de la herramienta Pure Storage para el almacenamiento de datos operativos</t>
  </si>
  <si>
    <t xml:space="preserve"> Se realizaron ajustes técnicos al Servicio de Geocodificador Se avanzó un 10% en la documentación de viabilidad de Houndoc y se integró un catálogo único para consultas ciudadanas 24/7 usando IA. Se socializó la gestión de soluciones tecnológicas y casos de éxito en varios talleres y con instituciones como la Secretaría TIC de Tuluá y el Ministerio TIC.</t>
  </si>
  <si>
    <t>Se alcanzó un 98% de disponibilidad de la infraestructura tecnológica en los primeros 6 meses del año. Se ajustaron las licencias de correo a 5890, se mejoró la seguridad de los snapshots, y se realizó un workshop sobre Pure Storage. Se administró la infraestructura en CPD pisos 1 y 15 y en Google Cloud. Mejoró la conectividad a la nube de Google y la administración de servicios VPN con Global Protect. Se iniciaron operaciones de respaldo en 16 sistemas de información y se estabilizaron sistemas como SAP, Orfeo, y otros, todos en Google Cloud.</t>
  </si>
  <si>
    <t>Implementar 1 Herramientas tecnológicas de Gobierno digital (Actualizar 4 Sistemas de Información)</t>
  </si>
  <si>
    <t>En el módulo PPM de SAP, se ajustó el reporte ZPPMI002 para corregir la información en el campo "descripción del producto" (solicitud MARI 141653) y se añadió un nuevo campo para información del plan de desarrollo (solicitud MARI 141658), generando órdenes de transporte. Se iniciaron trámites de inteligencia de mercado para actualizar SAP y el portal Municipal. Se implementaron y ajustaron componentes SAP, incluyendo la transacción ZPS_FICHA_EBI, el programa ZZ_ACO_CLEAN_DUPLICATES_ROLE y el módulo PS, añadiendo el campo "Código Área Producto". Se definieron y adjudicaron requerimientos para actualizar el Portal Municipal, Mesa de Ayuda, Plataforma contratistas y Oracle.</t>
  </si>
  <si>
    <t>Presupuesto</t>
  </si>
  <si>
    <t>1</t>
  </si>
  <si>
    <t>Se realizo el primer análisis del estado de los trámites y servicios que actualmente esta prestando el Departamento Administrativo de Desarrollo Institucional e Imnovación, con el fin de evaluar su eficacia y facilidad del acceso al ciudadano.</t>
  </si>
  <si>
    <t>Debido a que la creación de la Oficina de Relacionamiento con el Ciudadano se estableció como meta de producto en el nuevo plan de desarrollo 2024 - 2027 "Capital, Pacífica de Colombia", liderada por la Subdirección de Gestión de trámites, servicios y gestión documental, se recibieron nuevas directrices para el desarrollo de las actividades reportadas en el presente avance, que se adelantaron con solo un contratista bajo el proyecto y con el apoyo de otro, por funcionamiento.</t>
  </si>
  <si>
    <t>Se cuenta con la política administración de riesgos-PAR vigente, sin embargo esta se encuentra en periodo de actualización, con base a la implementación del procedimiento y la evaluación de la PAR con base a los resultados arrojados para su implementación en la vigencia 2023 y el direccionamiento dado para la vigencia 2024.
Se realizó seguimiento y evaluación a los nueve procesos del alcance que de acuerdo con la capacidad operativa de la Subdirección se realizó en cada uno de los organismos con una evaluación diagnóstica en el cumplimiento de los requisitos bajo la NTC ISO 9001:2015.</t>
  </si>
  <si>
    <t>Se realizaron sensibilizaciones relacionadas con el mantenimiento e implementación de los modulos indicadores, riesgos, auditorias, documentos, planes y activos de información del sistema de información Daruma a los diferentes delegados de los organismos de la entidad, a la fecha no se han adquirido los servicios de soporte y desarrollo especificos</t>
  </si>
  <si>
    <t>Se compartieron con el equipo de AE las mejores prácticas para crear diagramas en BPMN. Se dio respuesta a las solicitudes de acompañamiento en diagramación de procedimientos para Bienestar Social ( 202441370200003324) y Administración de Tesorería ( 202441310300020784). Se actualizaron en BPMN los procedimientos MEDE01.05.02.P016 "Control de Salidas No Conformes" y MEDE01.05.11.P002 "Ejecución de un Ejercicio de Arquitectura Empresarial". Se avanzó en la actualización del documento metodológico, incorporando herramientas para simulación de procesos y lineamientos para el ciclo de Arquitectura Empresarial.</t>
  </si>
  <si>
    <t>Se realizo Un (1) Comite de Arquitectura Empresarial - AE (Nivel Operativo) donde se revisaron y aprobaron los Planes de Trabajo  de los Dominios de Sistemas de Informaciòn e Infraestructura Tecnologico, la Guia del MGAE y los principios de AE y se continuo revisando la Guia de Implementaciòn del MGAE, se continuo la actualizaciòn del Subproceso "Gestiòn de la AE" (Procedimiento "Ejecuciòn de un Ejercicio de AE" y Modelaciòn de Subproceso "Caracterizaciòn").</t>
  </si>
  <si>
    <t>Se continuo con la revisiòn y analisis del Artefacto "Nivel de Madurez de MinTIC" en comparaciòn con el aplicadò por la entidad en el año 2023, se reviso Micrositio de AE y se generaron propuestas de actualizaciòn y se continuo actualizando los artefactos de "Capacidades" para los seis (6) Dominios de AE de la entidad, se genero diseño de repositorio de capacidades de AE.</t>
  </si>
  <si>
    <t>Se instaló el Comite de Teletrabajo, organismo clave en el impulso, control y seguimiento a la modalidad al interior de la Alcaldia Distrital. Se realizó jornada de seguimiento a los teletrabajadores y sus jefes inmediatos, obteniendo retroalimentación y oportunidades de mejora para el modelo. Se continuó el desarrollo del capítulo 3 "Realizar análisis de los cambios a implementar en el subproceso identificado" mediante la identificación de oportunidades de mejora al modelo de teletrabajo. Se inició  diligenciamiento del capítulo 4 "Rediseñar los procedimientos y formatos de teletrabajo de acuerdo al instructivo de modelación de procesos" y capítulo 5 "Solicitar formalmente la inclusión del modelo de teletrabajo en el MOP".</t>
  </si>
  <si>
    <t>Se avanzó en la actualización de los siguientes requisitos de la NTC ISO 9001 versión 2015:  en la centralización del contexto de la organización (4.1),  
matriz de partes interesadas y grupos de valor del DADII (4.2), matriz de alcance y oficio 2024 (4.3), informe Gestión Integral del Riesgo 2024 I trimestre (6.1), informe de evaluación Continua - Formato de evaluación continua aplicado a nueve procesos (4.4, 6.1, 8.1 y 9.1),  objetivos SGC - matriz de trazabilidad Objetivos del SGC (6.2 y 9.1), procedimiento planificación y gestión del cambio - Formato (6.3 y 8.5.6), plan de comunicaciones y toma de conciencia del SGCYCI (7.3 Y 7.4), evaluación diagnóstica al SGC bajo los requisitos de la NTC ISO 9001:2015 aplicado a 9 procesos (4.4 y 9.1), procedimiento Control de insumos y salidas no conformes (8.6 y 8.7) y plan de mejoramiento SGCYCI (10.1 y 10.3)</t>
  </si>
  <si>
    <t>Se asistió tecnicamente a la UAEGBS, a la secretaria de cultura, deparrtamento administrativo de contratación, secretaria de salud, movilidad, infraestructura, DADII, secretaría de paz y cultura ciudadana, planeación y UAEPA</t>
  </si>
  <si>
    <t>Se adelantan mesas de trabajo para la implementación de laboratorios de simplicidad</t>
  </si>
  <si>
    <t>Se asistió tecnicamente a la secretaría de salud, de educación, departamento administrativo de hacienda, planeación y secretaría de vivienda, unidad administrativa de gestión de bienes y servicios,  y secretaria de cultura</t>
  </si>
  <si>
    <t>Se desarrollaron mesas de trabajo para la simplificación de los trámites asociados a las cadenas de trámites relacionadas con el sector construcción y la ventanilla única de las artes escénicas</t>
  </si>
  <si>
    <t>Se digitalizaron 51.263 las imágenes de archivo, producto de la organización y depuración de los archivos físicos.</t>
  </si>
  <si>
    <t xml:space="preserve">En lo que va corrido del año 2024 se han realizado 5 acompañamientos y/o asistencias técnicas a 29 organismos en total, referentes a la apropiación de los lineamientos de la Estrategia de Rendición de Cuentas. Una de estas fue general (a todos los organismos), con acta No. 4137.030.14.89.1, y 4137.030.14.89.2, 4137.030.14.89.4, 4137.030.14.89.5, 4137.030.14.89.6, particulares a los siguientes organismos: DAGJP, DAHM, DAPM, DADII, UAEGBYS, SDTYPC, Secretaría de Gobierno y DATIC. </t>
  </si>
  <si>
    <t>Se está RdC con enfoque en facilitar a la ciudadanía información de calidad y en lenguaje comprensible, brindando seis espacios de retroalimentación y diálogo, que se realizarán en el segundo semestre del año y fomentando la cultura de rendición y petición de cuentas.Se ha avanzado en la estrategia que enmarca los 3 elementos de la RdC que pretende fomentar la interacción permanente entre la Administración , los grupos de interés y ciudadanía en general con espacios de RdC, en los que se genere diálogo en doble vía y se divulgue información en lenguaje claro y comprensible para explicar y justificar las decisiones, acciones y resultados en el marco de los lineamientos con enfoque diferencial, Derechos Humanos y Paz.</t>
  </si>
  <si>
    <t>BP-26002945</t>
  </si>
  <si>
    <t>El avance de 5% del indicador corresponde a la etapa de alistamiento por parte del operador que ejecutará las actividades para garantizar la prestación del servicio de internet en las IEO, la ejecución inicia durante el mes de julio.</t>
  </si>
  <si>
    <t>BP-26002688</t>
  </si>
  <si>
    <t>BP-26002703</t>
  </si>
  <si>
    <t>El avance del 4% corresponde a la etapa de alistamiento por parte del operador que ejecutara las actividades de acompañamiento psicosocial a las comunidades educativas y fortalecimiento de escuelas de familia en las IEO del Distrito de Santiago de Cali.</t>
  </si>
  <si>
    <t>BP2600270310201</t>
  </si>
  <si>
    <t>Realizar un evento de promoción y prevención de los Derechos Humanos, Sexuales y Reproductivos de los niños, niñas y adolescentes</t>
  </si>
  <si>
    <t>Eventos de promoción y prevención de los derechos realizados</t>
  </si>
  <si>
    <t>BP-26003711</t>
  </si>
  <si>
    <t>BP-26002564</t>
  </si>
  <si>
    <t xml:space="preserve">El avance de 16,3% en el producto correspone a la contratación de profesionales de apoyo en modelos lingüísticos e intérpretes de lengua de señas colombiana, para atender las necesidades educativas de los estudiantes con discapacidad auditiva  usuarios de lengua de señas colombiana, y profesionales de apoyo pedagógico y tiflólogos, para atender las necesidades educativas de los estudiantes con discapacidad matriculados en la Institución Educativa Oficial (IEO) </t>
  </si>
  <si>
    <t>El avance de 10% en el producto correspone a la contratación de las fundaciones y asociaciones encargadas de brindar atencion en la modalidad de educación adecuada para la integración social de los jóvenes con discapacidad.</t>
  </si>
  <si>
    <t>BP-26004701</t>
  </si>
  <si>
    <t>El avance de 7,9% en el producto corresponde a la intervención  de obras de emergencias en las sedes educativas Oficiales de Santiago de Cali</t>
  </si>
  <si>
    <t>BP-26004840</t>
  </si>
  <si>
    <t>BP-26004861</t>
  </si>
  <si>
    <t>BP-26004870</t>
  </si>
  <si>
    <t>BP-26004872</t>
  </si>
  <si>
    <t>BP-26004880</t>
  </si>
  <si>
    <t>BP-26004850</t>
  </si>
  <si>
    <t>BP-26004891</t>
  </si>
  <si>
    <t>BP-26004900</t>
  </si>
  <si>
    <t>BP-26002680</t>
  </si>
  <si>
    <t xml:space="preserve">El avance de 5% del indicador corresponde a la etapa de alistamiento por parte del operador para la entrega de paquetes escolares para estudiantes vulnerables. </t>
  </si>
  <si>
    <t>BP-26004690</t>
  </si>
  <si>
    <t>El avance de 16,4% corresponde a la liquidación y pagó la nómina correspondiente a docentes, directivos docentes y administrativos.</t>
  </si>
  <si>
    <t>El avance de 1,8% corresponde a la liquidación y pagó la nómina correspondiente a la planta docente temporal.</t>
  </si>
  <si>
    <t>BP-26003038</t>
  </si>
  <si>
    <t>BP-26003293</t>
  </si>
  <si>
    <t>El avance de 20,5% la asesoria contable y presupuestal realizada por la SED  para la transferencia de recursos propios a las instituciones educativas oficiales  urbanas y rurales</t>
  </si>
  <si>
    <t>El avance de 20% en el producto corresponde a la expedición de la resolución de transferencia del giro de gratuidad a las Instituciones educativas por el presupuesto aforado hasta la fecha.</t>
  </si>
  <si>
    <t>BP-26004200</t>
  </si>
  <si>
    <t>BP-26003095</t>
  </si>
  <si>
    <t xml:space="preserve">El avance de 40% corresponde a la realización de 13 contratos de arrendamiento de sedes educativas y se tramitó el pago de 11 asociaciones de acueductos rurales </t>
  </si>
  <si>
    <t>BP-26003708</t>
  </si>
  <si>
    <t>El avance de 26,5% en el producto corresponde a  la prestación del servicio de aseo integral y vigilancia en las 92 IEO, asi como al apoyo a la gestión administrativa en la prestacion del servicio educativo de la secretaría de Educación de Cali</t>
  </si>
  <si>
    <t>BP-26004702</t>
  </si>
  <si>
    <t>El avance de 4% la realización de 57 visitas de seguimiento a los establecimientos de educación formal y educación para el trabajo y desarrollo humano.</t>
  </si>
  <si>
    <t>BP2600470210101</t>
  </si>
  <si>
    <t>Implementar estrategia de fomento</t>
  </si>
  <si>
    <t>Estrategias de fomento implementadas</t>
  </si>
  <si>
    <t>Sedes educativas oficiales con implementación de modelos educativos flexibles para niños, adolescentes, jóvenes y adultos en proceso de alfabetización</t>
  </si>
  <si>
    <t>Mejoramiento de la atención educativa a estudiantes con enfermedad crónica en Santiago de Cali</t>
  </si>
  <si>
    <t>BP26004309</t>
  </si>
  <si>
    <t xml:space="preserve">Secretaría de Educación Distrital - Subsecretaría de Cobertura Educativa
</t>
  </si>
  <si>
    <t>BP2600430910101</t>
  </si>
  <si>
    <t>Beneficiar 60 estudiantes con estrategías de permanencia</t>
  </si>
  <si>
    <t>Personas beneficiarias de Estrategias de Permanencia</t>
  </si>
  <si>
    <t>BP2600430910201</t>
  </si>
  <si>
    <t>Número de estudiantes con
enfermedades crónicas
beneficiados de la atención
educativa desde el apoyo
académico especial</t>
  </si>
  <si>
    <t>Dotar 2 ambientes de aprendizaje con material pedagógico</t>
  </si>
  <si>
    <t>Fortalecimiento de las metodologías flexibles para la atención educativa IEO de Cali</t>
  </si>
  <si>
    <t>BP-26002808</t>
  </si>
  <si>
    <t>BP2600280810101</t>
  </si>
  <si>
    <t>Sedes educativas oficiales con implementación de modelos educativos flexibles para niños, adolescentes, jóvenes y adultos en proceso de alfabetización.</t>
  </si>
  <si>
    <t>Atender a 2210 estudiantes mediantes modelos educativos flexibles</t>
  </si>
  <si>
    <t>Beneficiarios atendidos con modelos educativos flexibles</t>
  </si>
  <si>
    <t>BP-26002573</t>
  </si>
  <si>
    <t>El avance de 46,1% del producto corresponde a la prestación del servicio de transporte escolar a 21440 beneficiados de las Institiciones Educativas.</t>
  </si>
  <si>
    <t>28/06/2024</t>
  </si>
  <si>
    <t>31/12/224</t>
  </si>
  <si>
    <t>El avance de 0,1% en el producto corresponde a la contratación del servicio de transporte para los funcionarios, a la fecha no se ha iniciado ejecución, se esta finalizando el proceso contractual</t>
  </si>
  <si>
    <t>BP2600308810201</t>
  </si>
  <si>
    <t>Dotar a 23 sedes educativas</t>
  </si>
  <si>
    <t>BP-26003792</t>
  </si>
  <si>
    <t>BP-26004074</t>
  </si>
  <si>
    <t>BP-26004862</t>
  </si>
  <si>
    <t>BP-26004355</t>
  </si>
  <si>
    <t>BP-26004451</t>
  </si>
  <si>
    <t>BP-26004871</t>
  </si>
  <si>
    <t>BP-26004911</t>
  </si>
  <si>
    <t>BP-26002679</t>
  </si>
  <si>
    <t>El avance de 42,3% del producto corresponde a la entrega de 13527503 raciones en la Modalidad de Complemento Alimentario AM/PM  para la ejecución del  Programa de Alimentacion Escolar.</t>
  </si>
  <si>
    <t>El avance de 5,4% del producto corresponde a las 25 visitas de supervisión realizadas en las sedes educativas beneficiadas con el Programa de Alimentación Escolar.</t>
  </si>
  <si>
    <t>BP-26002796</t>
  </si>
  <si>
    <t>BP-26003898</t>
  </si>
  <si>
    <t>BP-26003033</t>
  </si>
  <si>
    <t>BP-26002926</t>
  </si>
  <si>
    <t>El avance del 2,5% corresponde a la etapa de alistamiento por parte del operador que ejecutara las actividades para elaborar e implemetar el Plan Territorial de Lectura, Escritura y Oralidad</t>
  </si>
  <si>
    <t>El avance del 10% corresponde avance presentado por el operador en la estructuración del plan de estudios del curso "Cali territorio leo: estrategias de innovación para el desarrollo de centros de interés", diseñado para integrar la lectura, escritura y oralidad como ejes transversales del aprendizaje en todas las áreas del conocimiento.</t>
  </si>
  <si>
    <t>BP-26002931</t>
  </si>
  <si>
    <t>El 6% de avance en el producto corresponde al desarrolló de un taller denominado “Mi Biblioteca Soñada", en cada  IEO focalizada, dirigida a  la  comunidad educativa compuesta por estudiantes, docentes y padres de familia. También se identificaron las necesidades de las IEO focalizadas en lo que respecta al material didáctico y bibliográfico en coherencia con el presupuesto destinado desde el proyecto para la dotación de dichos materiales.</t>
  </si>
  <si>
    <t xml:space="preserve">El avance del 6% corresponde a  la estructuración del plan de estudios del curso "Cali leo: bibliotecas que transforman territorios", diseñado para potenciar las bibliotecas como centros dinámicos de aprendizaje. </t>
  </si>
  <si>
    <t>El avance del 8% corresponde a la elaboración de una propuesta pedagógica basada en la metodología del Design Thinking para acompañar a 14 instituciones educativas en el diseño e implementación de planes de servicios bibliotecarios. Así mismo La Fundación Bibliotec  dio inicio la selección de mediadores de lectura, escritura y oralidad, quienes brindarán apoyo técnico y formativo para crear e implementar estos planes con una oferta cultural para la comunidad educativa</t>
  </si>
  <si>
    <t>BP-26004819</t>
  </si>
  <si>
    <t>El avance del 1%  corresponde al avance de  la elaboración del documento técnico para la formación en lenga extranjera de docentes de áreas distintas al ingles y de estudiantes de grados 10 y 11. Se avanzó en el esquema preliminar para recolección de datos de las líneas de trabajo de la estrategia de Bilingüismo</t>
  </si>
  <si>
    <t>BP-26002996</t>
  </si>
  <si>
    <t>El avance del 3,5% corresponde a  la organización de los documentos de proyectos y procesos previos de Bilingüismo en Cali para consolidar los antecedentes del Documento Política Pública de Bilingüismo 2024</t>
  </si>
  <si>
    <t>BP-26004700</t>
  </si>
  <si>
    <t>BP-26002950</t>
  </si>
  <si>
    <t xml:space="preserve">Se adelantó proceso de capacitación a 100 personas en temas de exigibilidad de derechos en salud pública y prestación de servicios con las Empresas Sociales del Estado - E.S.E en el marco del Plan de Intervenciones Colectivas - P.I.C </t>
  </si>
  <si>
    <t>Se adelantó proceso con 50 personas en temas de promocion  y participacion social en materia de salud y seguridad social   con las Empresas Sociales del Estado - E.S.E para el desarrollo de las acciones en el marco del Plan de Intervenciones Colectivas - P.I.C en la prevencion de violencias.</t>
  </si>
  <si>
    <t>Se realizó proceso de concertación con los lideres de la Comuna 21 y la E.S.E Oriente, se realiza y da inicio  el proceso contractual a traves del convenio 0015 para el desarrollo de las actividades del proyecto de presupuesto participativo.</t>
  </si>
  <si>
    <t>El proyecto ha avanzado  en dos asistencias tecnicas con  la IPS Fundacion Clinica Club Noel y con la subsecretaria de victimas ( los agents de los Puntos de Informacion y Orientacion  (PIO)).</t>
  </si>
  <si>
    <t xml:space="preserve"> 40 personas capacitadas victimas del conflicto en temas de salud. </t>
  </si>
  <si>
    <t>Avance de atencion en la intervencion psicosocial y en salud integral a  600  personas victimas del conflicto armado .</t>
  </si>
  <si>
    <t>Se da inicio a la contratacion al contrato del Plan de Intervenciones Colectivas con las ESE ladera y oriente y avanzamos en la concertacion de actividades.  Se realiza la validacion de HV del TH relacionado al contrato de acuerdo con lo estipulado en el mismo</t>
  </si>
  <si>
    <t>Se realizaron 5 asistencias tecnicas en Instituciones Prestadoras de Salud</t>
  </si>
  <si>
    <t xml:space="preserve">Se realizó acompañamiemto a 200 personas del sistema en educación informal en temas de salud pública y prestación de servicios en la primera infancia </t>
  </si>
  <si>
    <t>Se efectuó la distribución de 504.071 biológicos, 457.220 insumos y 184.246 diluyentes del Programa Ampliado de Inmunización y se han aplicado un total de 360.962 dosis de vacunas.</t>
  </si>
  <si>
    <t>Se realizó asistencia técnica en 75 entidades en el fortalecimiento de capacidades básicas y técnicas en salud, respecto a los componentes del programa PAI.</t>
  </si>
  <si>
    <t>Se ha realizado 25 campañas de gestión de riesgo en enfermedades inmunoprevenibles a través de estrategias y jornadas de vacunación.</t>
  </si>
  <si>
    <t>Se ha realizado seis (6) campañas de divulgación y comunicación de estrategias de salud y promoción social.</t>
  </si>
  <si>
    <t>Se han efectuado seis (6) documentos con los comportamientos estadístico de movimiento de biológicos y coberturas del programa.</t>
  </si>
  <si>
    <t>Se han efectuado seis (6) documentos con hallazgos, conclusiones y análisis de los resultados de monitoreo y evaluación anual.</t>
  </si>
  <si>
    <t>Se adelantó Proceso  de capacitacion a 50 jovenes mediante las Empresas Sociales del Estado - E.S.E para el desarrollo de las acciones en el marco del Plan de Intervenciones Colectivas - P.I.C en la promocion de los derechos sexuales y reproductivos</t>
  </si>
  <si>
    <t xml:space="preserve">Se realizó 8 asistencias técncas a las EAPB en los temas de la ruta de promoción de los derechos sexuales y reproductivos   a los adolescentes y jovenes en el mantenimiento de la salud en los diferentes entornos </t>
  </si>
  <si>
    <t>Se adelantó proceso socialización para el desarrollo de las acciones de la estrategia  de servicios amigables con las Empresas Sociales del Estado - E.S.E para el desarrollo de las acciones en el marco del Plan de Intervenciones Colectivas - P.I.C en la promocion de los derechos sexuales y reproductivos. . No se reporta avance físico toda vez que las intervenciones colectivas se programaron para dar inicio el mes de julio de 2024</t>
  </si>
  <si>
    <t>se inicia con la realización del instrumentos de caracterización, aplicación de pre tes y 8 talleres promuevan la cultura positiva de la vejez y el envejecimiento activo, conformando 9 grupos en 6 corregimientos y 3 comunas como 2, 4 y impactando 180 personas.</t>
  </si>
  <si>
    <t xml:space="preserve">En total, se han llevado a cabo 20 asistencias técnicas dirigidas a los actores del sistema. </t>
  </si>
  <si>
    <t xml:space="preserve">Se ha brindado asistencia técnica a 7 Centros de Protección Social para el Adulto Mayor. </t>
  </si>
  <si>
    <t>Se han llevado a cabo 7 asistencias técnicas a Instituciones Prestadoras de Servicios de Salud (IPS). Asimismo, se ha realizado la planificación de actividades, con un cronograma establecido desde el área de Salud Pública, para el segundo cuatrimestre del año 2024. Este cronograma incluye visitas a hospitales de las Empresas Sociales del Estado en Santiago de Cali.</t>
  </si>
  <si>
    <t>Se ejecutaron un total de 8 asistencias técnicas y se planificaron actividades con un cronograma establecido por el área de Salud Pública para el tercer trimestre del año 2024. Este cronograma incluye visitas a 8 Entidades Administradoras de Planes de Beneficios (EAPB) en el Distrito de Santiago de Cali.</t>
  </si>
  <si>
    <t>Se envió un ajuste del proyecto a Planeación para estructurar el Plan de Intervenciones Colectivas (PIC), que incluye la realización de visitas en el marco de la Rehabilitación Basada en la Comunidad (RBC), Actividad que moviliza la meta del proyecto. Sinembargo, si hay ejecucion de recursos relacionados con el procedimiento de certificacion de discapacidad, por el cual se realizaron 451 valoraciones clínicas multidisciplinarias, lo cual no le aporta a la meta del proyecto.</t>
  </si>
  <si>
    <t>Se capacitaron a 78 personas en temas de salud pública y se realizó talleres en zona oriente, con población de infancia, adolescdncia y adultez.</t>
  </si>
  <si>
    <t>Se avanzo en la socialización del perfeccionamiento de las actividades para dar inicio a la revisión del  desarrollo en el cronograma, plan de trabajo y talento humano a traves de los contratos del PIC ladera y oriente. No se reporta avance físico toda vez que las intervenciones colectivas se programaron para dar inicio el mes de julio de 2024</t>
  </si>
  <si>
    <t>El avanzo en la socialización del perfección de las actividades para dar inicio a su desarrollo en el cronograma, plan de trabajo y talento humano a traves de los contratos del PIC ladera y oriente. No se reporta avance físico toda vez que las intervenciones colectivas se programaron para dar inicio el mes de julio de 2024</t>
  </si>
  <si>
    <t>01/04/2024</t>
  </si>
  <si>
    <t>Se avanzo en la concertacion con las 9 autoridades de los cabildos y resguardo, para la contratacion del proyecto de salud . El 26 de Junio se dio inicio al convenio 0016 con RESGUARDO INDIGENA KOFAN, a 30 de junio no se han desarrollado las acciones</t>
  </si>
  <si>
    <t xml:space="preserve">Se avanzo en la concertacion con las 9 autoridades de los cabildos y resguardo, para la contratacion del proyecto de salud. El 26 de Junio se dio inicio al convenio 0016 con RESGUARDO INDIGENA KOFAN, a 30 de junio no se han desarrollado las acciones </t>
  </si>
  <si>
    <t>Realizó proceso de capacitacion a 30 personas en temas de salud mental y convivencia en el marco del Modelo Comunitario de Salud Mental y las acciones del Plan de Intervenciones Colectivas P.I.C.</t>
  </si>
  <si>
    <t>Realizó ejercicio de planeación, para la definicion de los procesos de apoyo a seguimiento a las acciones del Plan de Intervenciones Colectivas P.I.C para el desarrollo de las actividades y campañas se prevención del suicidio, e intentos de suicidio en el marco del Modelo Comunitario de Salud Mental. No se reporta avance físico toda vez que las intervenciones colectivas se programaron para dar inicio el mes de julio de 2024</t>
  </si>
  <si>
    <t>Se brindaron servicios a 50 personas en temas promoción de la participación social en materia de salud y de seguridad social en el marco del Modelo Comunitario de Salud Mental y las acciones del Plan de Intervenciones Colectivas P.I.C.</t>
  </si>
  <si>
    <t>Se realizó  acompañamiento y sensibilización en  la promoción de la salud y prevención del riesgo ocupacional para la generación de entornos laborales seguros y saludables a 511 unidades productivas.</t>
  </si>
  <si>
    <t>Se continuó en el ejercicio de análisis de caracterización como de capacitación de población trabajadora informal intervenida durante el periodo y que alimenta el documento final. Este avance a corresponde al 48 % del documento.</t>
  </si>
  <si>
    <t xml:space="preserve">Se capacitó a 3157 trabajadores, 811 trabajadores del sector Informal y 2346 del sector formal de la Economia. </t>
  </si>
  <si>
    <t>Se avanza en uno de los documentos que corresponde a la implementación de trabajo digno y decente a partir de la intervención realizada con el sector informal de la economía. Este avance corresponde al 30%.</t>
  </si>
  <si>
    <t>Se realizaron 28 campañas de gestión del riesgo para temas de consumo y aprovechamiento biológico de los alimentos, calidad e inocuidad de los alimentos, en 20 Instituciones del entorno educativo y 8 Instituciones del entorno comunitario, para un total de 28 Instituciones intervenidas. En los cursos de vida primera infancia, infancia, adolescencia, juventud y adultez.</t>
  </si>
  <si>
    <t>Se realizaron 21 campañas de promoción en temas de disponibilidad y acceso a los alimentos, consumo y aprovechamiento biológico de los alimentos, en 21 Instituciones de Salud: 8 EAPB, 10 IPS y 3 ESE.</t>
  </si>
  <si>
    <t>Se avanzó en el proceso de contratacion del PIC con las ESE, proceso a traves del cual se dará alcance a las campañas de promocion de los derechos sexuales y reproductivos. Las actividades iniciarán en el mes de julio</t>
  </si>
  <si>
    <t xml:space="preserve">Se realizó capacitación a 55 actores sociales en temas de salud sexual y reproductiva y prestación de servicios,a referentes de EPS e IPS. </t>
  </si>
  <si>
    <t xml:space="preserve">Se realiza la  planeacion y cronogramas de asistencias tecnicas a las IPS </t>
  </si>
  <si>
    <t xml:space="preserve">Se realizó asistencia técnica para el fortalecimiento de capacidades institucionales en 60 instituciones dentro de las que se encuentran EAPB, ESES, IPS Publicas, IPS oncológicas e IPS privadas, para mejorar el abordaje del cáncer, las alteraciones de la salud bucal y las principales enfermedades crónicas no transmisibles.  Entre las entidades asistidas tecnicamente se encuentran Emsanar, IPS Comfandi Alameda, Isaías Duarte Cancino, Hospítal Carlos Holmes Trujillo, entre otras. </t>
  </si>
  <si>
    <t>Se realizó servicio de asistencia técnica comunitaria mediante el acompañamiento para la promoción y adopción de estilos de vida saludable a  21 organizaciones de base comunitaria (juntas de acción comunal, juntas administradoras Local, liga de usuarios), en las Comunas 6, 16, 18, 20, 21 y el corregimiento de Felidia.</t>
  </si>
  <si>
    <t>En los componetes de cronicas, cancer y salud oral se intervinieron con campañas de promoción de modos, condiciones y estilos de vida saludables (327 ) entidades de los entornos de vida cotidiana</t>
  </si>
  <si>
    <t>Se han diagnosticado 514 personas con Tuberculosis antes de 30 días a partir de la consulta.  Se realizaron actividades de acompañamiento a los diferentes actores en el cumplimiento de indicadores TB según lineamientos del PNT, como las asistencias integrales a IPS y EAPB, asistencias técnicas al sistema de información en IPS, control de infecciones y acompañamiento en la adherencia al tratamiento.</t>
  </si>
  <si>
    <t>El documento técnico tiene un avance del 25%, relacionado con la adherencia al tratamiento en personas afectadas por tuberculosis.</t>
  </si>
  <si>
    <t>Se ha efectuado el proceso de contratación de las actividades con las cinco (5) ESE del Distrito de Santiago de Cali, para dar inicio a la ejecución del contrato.No se reporta avance fisico debido a que el producto de los convenios con las ESE para compra de vacunas se dieron inico entre el 27 y 30 de junio, por lo que aun no se ha entregado ningún producto</t>
  </si>
  <si>
    <t>Se ha efectuado el proceso de contratación de las actividades con las cinco (5) ESE del Distrito de Santiago de Cali, para dar inicio a la ejecución del contrato. No se reporta avance fisico debido a que el producto de los convenios con las ESE para compra de vacunas se dieron inico entre el 27 y 30 de junio, por lo que aun no se ha entregado ningún producto</t>
  </si>
  <si>
    <t>Se realizaron 70 informes de valoración del sistema de información por Unidad Primaria Generadora de Datos en SIVIGILA  para los Eventos de Interes en Salud Pública - EISP.</t>
  </si>
  <si>
    <t>Se generaron los documentos programados para el periodo: boletines epidemiológicos de los eventos de interés en salud publica, perfil epidemiológico de los EISP socializados en COVE . Acumulados al corte: 92 documentos.</t>
  </si>
  <si>
    <t>Se realizaron 56  asistencias técnicas, a las diferentes unidades primarias generadoras de datos (UPGD): que requirieron en la aplicación del protocolo, lineamientos del sistema de información y con relación a los EISP así:  Infecciones asociadas a la atención en salud, Sarampion, Paralisis Flacida, dengue. Con Corte a junio 2024.</t>
  </si>
  <si>
    <t>Se avanza en el proceso de revision del documento de lineamientos tecnicos relacionados con la operativizacion del Plan de Intervenciones Colectivas en el marco de las Rutas Integrales de Atencion RIAS</t>
  </si>
  <si>
    <t>Se llevan 9 asistencias técnicas a IPS, realizando seguimiento a las recomendaciones de adherencia a las intervenciones por curso de vida socializadas  e implementación de las intervenciones en rogresividad; Ruta de Atención Integral para la Promoción y Mantenimiento de la Salud RIAPMS Res. 3280/18, Res. 276/19.</t>
  </si>
  <si>
    <t xml:space="preserve">2 Instituciones (ESE Oriente- EPS SOS) con proceso de asistencia técnica en participación. Se realizaron 8 asesorías a IPS Vitalia, Fundación Ideal, Clínica Cristo Rey y ESE Oriente, ESE Norte, Escuela Nacional del Deporte, SOS, Fundación Ideal;  12 acompañamientos a la ESE oriente, Hospital Universitario del Valle, Escuela Nacional del Deporte, Centro Quirúrgico de la Belleza y IPS Vitalia,  ESE Norte, Hospital Mario Correa, EPS SOS, Clínica los remedios y ESE Centro, Fundación Ideal, ESE ladera  y 7 capacitaciones a la ESE Oriente, IPS Endocirujanos, EPS Servicio Occidental de Salud, Hospital Isaias Duarte Cancino, Clínica Cristo Rey, Clínica Colombia y Clínica Cali, asousuarios y funcionarios de EAPB e IPS y . Se construyo el plan de la política de participación social y el plan de particpacion ciudadana, asistencia Diligenciamiento PROPAR. . </t>
  </si>
  <si>
    <t xml:space="preserve">Se realizó actualización de los directorios de las 22 comunas y 15 corregimientos de Cali, Se ajustan presentaciones y guías metodológicas para las capacitaciones. Se realizó la certificación de 106 lideres en participación social, Control social, Derecho a la salud y 10 capacitaciones al grupo adulto mayor comuna 18 Asousuarios ESE oriente y Norte, grupo de adulto mayor comuna 3. </t>
  </si>
  <si>
    <t>Se realizaron 8 reuniones con grupos counitarios  veersalud para el seguimiento de la Política de salud mental , 4 encuentros comunitarios con Minsalud y los  COPACOS  comuna 15, 21 y  veedurias comuna 18 y REVIVAC,  veedora asociacion de usuarios comuna 3, veedor asociacion de usuarios Red de Salud Oriente ESE, ejericicio de control social veeduria comun 18  JAL comuna 21,  asistencia técnica al COPACO comuna 15 y la convocatoria a la socialización ASIS</t>
  </si>
  <si>
    <t xml:space="preserve">Se realizó comité académico titulado: “salud mental en Cali”, llevado a cabo en la Universidad ICESI. Esto con el fin de fortalecer el diálogo bidireccional con la academia, y así ampliar y articular estrategias que sirvan para la formación de profesionales de la salud con enfoque de ciudad, así como, el fortalecimiento y actualización de las estrategias para el abordaje de eventos de interés en salud pública basados en el conocimiento de la academia. 
La evaluación de cuatro proyectos de investigación por parte de los comités de ética y de investigación, con el fin de valorar la posibilidad de otorgar acceso a la base de datos de la Secretaría conforme a las normas y rigurosidad metodológica y ética de los proyectos. 
</t>
  </si>
  <si>
    <t xml:space="preserve">El avance en los diálogos para la implementación y el desarrollo del observatorio de Salud Pública, de la mano con el Departamento Administrativo de Tecnologías de la Información y las Comunicaciones (DATIC), y los grupos de Salud Ambiental y Salud Pública, en cabeza del Subsecretario de promoción, prevención y producción social de la salud Carlos Eduardo Flórez Pinzón. 
El avance en los diálogos con las diferentes áreas de la Secretaría de Salud para hacer efectiva la migración de datos al grupo de Tecnologías de la Información y de las Comunicaciones (TIC), con el fin de centralizar el almacenamiento de datos y de los resultados de producción intelectual de la Secretaría.
</t>
  </si>
  <si>
    <t>Ejecución pendiente por proceso de recolección de la información para priorizar eventos de interes en Salud Pública</t>
  </si>
  <si>
    <t>Se brindaron a 30 personas servicio de promoción de la participación social en materia de salud y de seguridad social en salud   en el marco del Plan de Intervenciones Colectivas - P.I.C . Estos productos son contratados a través del PIC en 5 convenios con 5 ese, el inicio de estos contratos son el 15 de abril 2024 y finalizan en noviembre 2024</t>
  </si>
  <si>
    <t xml:space="preserve">Se brindó atencion a 50 personas en temas relacionados con atención a la población para el desarrollo de las acciones en el marco del Plan de Intervenciones Colectivas - P.I.C. Estos productos son contratados a través del PIC en 5 convenios con 5 ese, el inicio de estos contratos son el 15 de abril 2024 y finalizan en noviembre 2024 </t>
  </si>
  <si>
    <t>Se realizó seguimiento a la implementación de la Plataforma SISCOSSR, como herramienta para el proceso de caracterización de la población beneficiada,  en las IPS de atención para VIH. Avance del documento 15%.</t>
  </si>
  <si>
    <t>Se dio continuidad a la asistencia técnica para la idenificación de casos realizando la primera visita o intervención a la Red de Salud ESE Suroriente  al laboratorio del Hospital Carlos Carmona. Se inicia visita de intervención en el Banco de Sangre de la Cruz Roja regional Valle. Se realizó intervención en el Banco de Sangre del Hospital Universitario del Valle.</t>
  </si>
  <si>
    <t xml:space="preserve">Se finalizó proceso proceso de asistencia tecnica para la Implementación del modelo de atención integral de VIH/SIDA Hepatitis B y C con la primera visita en la Red de Salud ESE Ladera, Red de Salud ESE Oriente, ESE Suroriente, Hospital Universitario del Valle y  la EAPB Compensar. Se realizó asistencia técnica para el desarrollo de capacidades en actores del sistema de salud en atención a la población LGTBIQ+ con Enfoque diferencial al Hospital Universitario del Valle. </t>
  </si>
  <si>
    <t>Se avanzó con el procesoo de asistencia técnica para el desarrollo de capacidades en actores del sistema de salud en atención a la población LGTBIQ+ con Enfoque diferencial a la EAPB Famisanar realiando seguimiento a la aplicación de los  lineamientos técnicos. y se da inicio a la asistencia técnica con personal asistencial SAVE DE CHILDREN, generando lineamientos técnicos para la atención a población lgbtiq+ desde un enfoque diferencial con perspectiva de salud sexual y Estrategia Pedagógica. Se realizó asistencia tecnica ala EAPB SOS, Hospital Universitario del Valle y la Red de salud ESE Ladera</t>
  </si>
  <si>
    <t>Se realizaron 1273 tamizajes para la identificacion del riesgo fonoaudiologico y psicosocial, en 103 Instituciones del entorno educativo; para un total de 1273 campañas realizadas.</t>
  </si>
  <si>
    <t>Se realizaron 125 campañas de Promocion de la salud y prevencion de la enfermedad, a traves de desparaasitacion intestinal con 7404 dosis suministradas a escolares, capacitación en tematicas de interes en salud pública, en 125 Instituciones del entorno educativo.</t>
  </si>
  <si>
    <t>Se realizó en 97 Instituciones del entorno educativo proceso de capacitación a 485 representantes de la comunidad educativa como gestores de cambio para el fortalecimiento de la participación social en salud.</t>
  </si>
  <si>
    <t>Se realizo la afiliación de 198 personas pobres y vulnerables en la jurisdicción identificada con selección de beneficiarios del Régimen Subsidiado que sumadas a las 6.613 de la vigencia 2023 se llega a un total de 6.811 usuarios que deben permanecer afiliados al sistema de salud.</t>
  </si>
  <si>
    <t>Se llevo a cabo en 1  jurisdicción (Comuna 4), en el Colegio Inem el programa de promoción de la afiliación al régimen contributivo del Sistema General de Seguridad Social.</t>
  </si>
  <si>
    <t>Se realizo 6 proceso de liquidación mensual de afiliados al Régimen Subsidiado.</t>
  </si>
  <si>
    <t>Se realizo la certificación de recursos del Régimen subsidiado de los meses de enero, febrero, marzo, abril, mayo y junio.</t>
  </si>
  <si>
    <t>Se realizaron 6.732 atenciones en salud a la población migrante irregular de Santiago de Cali.</t>
  </si>
  <si>
    <t>Se realizaron 14 vistas de auditoría a las 14 EPS que operan en Santiago de Cali, 1 visita de auditoría a las IPS priorizadas por la Secretaria de Salud y 50 visitas previas de habilitación, reactivación y certificación en el marco del Sistema Único de Habilitación en cumplimiento de la Resolución 3100 de 2019; completando 65 auditorías y visitas inspectivas a los actores del sistema.</t>
  </si>
  <si>
    <t>Se realizaron 316 asistencias técnicas a prestadores de servicios de salud en los 7 estándares de la Resolución 3100 de 2019 en el marco del plan de asistencia técnica del SUH.</t>
  </si>
  <si>
    <t>Se inicio con la construcción del documento de comunicación y divulgación en inspección, vigilancia y control, el cual contiene información de resultados obtenidos en los componentes de habilitación, acreditación, sistema de información, seguridad del paciente y PAMEC</t>
  </si>
  <si>
    <t xml:space="preserve">En el periodo de enero a junio de  2024 se recibieron un total de 12.170 solicitudes de usuarios por barreras de atención en salud en el SAC, de los cuales se restituyeron de manera efectiva 10.150 peticiones. 
</t>
  </si>
  <si>
    <t>Durante el mes de enero a junio de 2024 en la ventanilla unica se atendió el 100% de las PQRS que ingresaron,  un total de 8.399 radicados los cuales se direccionaron a las áreas correspondientes.</t>
  </si>
  <si>
    <t xml:space="preserve">Se realizaron los documentos Plan Financiero Territorial, Plan Territorial de Salud y el Plan de Desarrollo 2024-2027, COAI, PAS anual y el seguimiento trimestral; avances en el seguimiento de los proyectos de inversión con el 1F y 1S seguimiento mensual, y seguimiento al PAA en comité institucional. </t>
  </si>
  <si>
    <t>Se avanzo en la elaboración de los siguientes informes: 
1. PAC con su respectivo seguimiento 31,0%
2. Control cuentas maestras mensualizados y consolidados. 45%
3. Tablero de indicadores de gestión de calidad. Avance del 45% 
4.  Informe Programa de auditoría interna. Avance del 45% 
5. Análisis de PQRS. Avance del 0%. 
6. Matriz flujo de información.
7. matriz riesgos. Avance del 50% 
8.Modelo de operación por procesos. Avance del 45%
9.Análisis de encuestas.  Avance del 0%.  
10. Matriz de cambios. Avance del 25%
11. Plan de bienestar y formación por autogestión 62,9%
12. Monitoreo y seguimiento al Modelo de Gestión del Conocimiento.
13. Matriz de riesgos ocupacionales 55%
15. Informe de visita de ICONTEC. Avance del 45% 
16. matriz de activos 
17. gestión documental 
18. Matriz de comunicaciones. Avance del 45%.
19.Matriz de cargos críticos forme de gestión 60%
Para el mes de junio se cuenta con el entregable parcial de  los documentos  programados con avances  de acuerdo con el plan de trabajo interno del área de Sistemas Integrados de Gestión, generado así, un cumplimiento del 34% de las actividades propuestas para el mes.</t>
  </si>
  <si>
    <t>Para el mes de junio se radicaron 431 tutelas, con 349 tutelas que si restituyeron derechos en salud y 28 tutelas que no restituyeron derechos a la salud.</t>
  </si>
  <si>
    <t xml:space="preserve">Los mantenimientos que se ejecutaron en el mes de JUNIO son los siguientes: - Mantenimiento de Tanques de Agua 
Se visualiza en un 33.3% la ejecución de los mantenimientos preventivos correspondiente a tanques de agua.
• Mantenimiento de Ascensores: Se visualiza en un 45% la ejecución de los mantenimientos preventivos correspondientes de Ascensores.
• Mantenimiento de Cadena de Fríos : Se visualiza en un 25% la ejecución de los mantenimientos preventivos correspondiente de Cadena de Fríos.
• Mantenimiento de UPS y Subestación: Se visualiza en un 25% la ejecución de los mantenimientos preventivos Correspondiente a UPS y Subestación. 
• Mantenimiento de Aires Acondicionados: Se visualiza en un 25% la ejecución de los mantenimientos preventivos Correspondiente a Aires Acondicionados.  
</t>
  </si>
  <si>
    <t xml:space="preserve">En las sedes de las UESAS Puerto Mallarino, Ladera, Norte Oriente, Centro de Zoonosis, se realizan arreglos de sistema de aguas (lavaplatos, baños y otrs), arreglos electricos, puertas, persianas, aires acondicionados, cambios de lamparas LED. Se ejecutan las vistas de las diferentes sedes de acuerdo al cronograma de actividades del Grupo ABIMA durante el mes de Junio 2024. teniendo en cuenta que en el niven central se ejecutan mas actividades de cuidado de la infraestructura por tener mas personal externo que visita el nivel central.
</t>
  </si>
  <si>
    <t>Se participa en cuatro (4) Asistencias técnicas dadas por el Ministerio de salud sobre  sistema de información SI-APS , seguimiento y continuidad de equipos básicos EBS y conformación de equipo básico para jóvenes en paz;  se participa en dos (2) mesas de trabajo con el Programa TIOS, ESE y salud ambiental para articular acciones en territorios priorizados,  se realiza  visita de seguimiento a la ESE Centro , seguimiento a equipos básicos de las ESE con el fin de analizar la información capturada a través de los diferentes instrumentos de caracterización logrando llegar a 37820 familias</t>
  </si>
  <si>
    <t>Se realizó la intervención en dos (2) territorio de la Comuna 13 barrio Poblado II y y Antonio Nariño, trabajo articulado con los diferentes organismos que hacen parte del Comité Distrital de "Entornos para la vida".</t>
  </si>
  <si>
    <t>acciones de educación y comunicación en salud ambiental en 638 viviendas en los sectorres priorizados de la comuna 13.</t>
  </si>
  <si>
    <t xml:space="preserve">realización de quince (15) Jornadas de Salud para fomentar la promoción de la Salud en el Comunidad
</t>
  </si>
  <si>
    <t>Se brindar a 2 organizaciones de base asistencia técnica para el desarrollo de iniciativas comunitarias, con enfoque de Entornos para la Vida.</t>
  </si>
  <si>
    <t>Se realkizzo gestión precontractual, se requirió de realizar un acercamiento inicial con grupos de valor de la comunidad y lideres, buscando a través de acciones coordinadas y concertadas definir los criterios para el desarrollo del proyecto, acercamiento con la ESE que opera en el territorio y se realizó reunión con la Gerente de la ESE Oriente dando inicio al proceso contractual</t>
  </si>
  <si>
    <t>Implementación de la Estrategia Educativa para la prevención de dengue (Enfoque de Ecosalud) en 7 territorios priorizados: Terrón Colorado, Alfonso López I, El Poblado I, Alfonso Bonilla Aragón, Manuela Beltrán, Mojica y Siloé. Con reconocimiento y diagnóstico y talleres</t>
  </si>
  <si>
    <t>BP2600306010102</t>
  </si>
  <si>
    <t>Implementar 1 campañas de gestión del riesgo en abordar situaciones de salud relacionadas con condiciones ambientales, vigilancia y control de vectores</t>
  </si>
  <si>
    <t>6 campaña de gestión con: 302.905 sumideros; 3.975 LCH; 8.657 viviendas visitadas y 3.538  viviendas fumigadas; 951 acciones de control biológico; 4 Jornadas integrales. actividad contingencial, 6.802~ manzanas y 321.256~ predios fumigados.</t>
  </si>
  <si>
    <t>Se realizaron acciones de vigilancia y control en 11 estabelcimientos y lugares de interes por riesgos asociados a la zoonosis y atencion de anikmmales de compañía.</t>
  </si>
  <si>
    <t xml:space="preserve">Se ha realizado 6 informes relacionados a las acciones de vigilancia y control de la zoonosis - rabia animal con un reporte total de 1305 inmunizaciones a caninos y felinos y 2263  notificaciones de agresiones de animales potencialmente transmisores de la rabia </t>
  </si>
  <si>
    <t>Se realizaron dos (2) informes con el reporte de las acciones trimestrales que corresponden al seguimiento de la gestión de los proyectos de inversión y acciones desarrolladas por en el Grupo de Gestión Integral de la Salud Ambiental – GISA</t>
  </si>
  <si>
    <t>Se realizo revision de la información relacionada al sistema de gestion de la calidad y los documentos y matrices para actualizaciond e informacion e iniciar la elaboracion de los documentos metodologicoas correspondientes.</t>
  </si>
  <si>
    <t>Se apoyo el proceso de implementación de la ISO NTC 17025-2017 y la toma de 364 muestras para vigilancia de la calidad del agua</t>
  </si>
  <si>
    <t>Se realizo la evaluación de riesgo en inocuidad de alimentos de acuerdo a las solicitudes y programacion con un 35,5% de avance</t>
  </si>
  <si>
    <t>Se realizaron visitas de inspección sanitaria, vigilancia y control a edificaciones e instalaciones encontrando que 5888 cuentan con condiciones seguras para la salud humana en el Distrito de Cali, cumpliendo con la meta.</t>
  </si>
  <si>
    <t>Se realizó el desarrollo de convenios interadministrativos de dotación hospitalaria con cinco empresas sociales del estado (Norte, Oriente, Suroriente, Centro y Ladera)</t>
  </si>
  <si>
    <t>Se realizaron 16 visitas y se brindo asistencia técnica e inspección a 15 instituciones prestadoras de Servicio de salud en el seguimiento del funcionamiento y operatividad de planes hospitalarios de emergencias. Lo anterior debido a que se cerró 1 servicio de urgencias</t>
  </si>
  <si>
    <t>Se realizó seguimiento mensual al proceso para la coordinación de la operación del Centro Regulador de Urgencias y Emergencias (CRUE) ante situaciones de urgencias y emergencias médicas. Además, se realizó 1 actividad para la ejecución del SEM, 13 reuniones de articulación del SEM y 25 respuesta a PQR.</t>
  </si>
  <si>
    <t>Se realizó registro y control a 144 prestadores de transporte asistencial de pacientes. Además, 80 operativos, 1 verificación al talento humano en empresa de ambulancias, 3 autorizaciones para emblema de Misión Medica, 52 actualizaciones en base de datos.</t>
  </si>
  <si>
    <t>Se participó en 71 eventos de interés en salud, referentes a afluencia masiva de personas a través de los Puestos de Mando Unificado instalados para tal fin.</t>
  </si>
  <si>
    <t>Se realizó la implementación mensual del proceso de gestión del riesgo y el manejo de desastres. Para ello se realizaron: participación en 42 reuniones, 13 Alertas hospitalarias, 3 Alerta Amarilla, 1 Alerta naranja, Consolidación mensual de eventos, Solicitud de cadena de llamado.</t>
  </si>
  <si>
    <t>Realizar 300 capacitaciones a mujeres en formulación de políticas empresariales.</t>
  </si>
  <si>
    <t>En el periodo de enero a junio se  capacitaron 152  mujeres a través de alianzas con empresas de la ciudad para procesos de empleabilidad y/o emprendimiento.</t>
  </si>
  <si>
    <t>Atender en 1 centro de orientación  a 3,745 familias en temas de ayuda psicosocial y jurídica en el marco de la estrategia de prevención de las violencias.</t>
  </si>
  <si>
    <t>Para el periodo correspondiente de enero a junio, se avanzó en el proceso de gestión institucional y articulaciones para el desarrollo de la intervención en territorio, se realizó proceso de articulación con entidades susceptibles del desarrollo de la intervención familiar. Se brindaron lineamientos para el desarrollo de las acciones en el marco de la estrategia centros de orientación familiar.</t>
  </si>
  <si>
    <t>BP2600346610101</t>
  </si>
  <si>
    <t>Ejecutar 120 acciones con las comunidades</t>
  </si>
  <si>
    <t>Realizar acompañamiento a cinco comunidades  en proceso de retorno y reubicación.</t>
  </si>
  <si>
    <t>Lo ejecutado hasta la fecha corresponde a la contratación del producto a través del operador GRUPO FENIX CONSULTORES Y PROMOTORES, mediante contrato 4146,010,26,1.954-2024. Su ejecución se adelantará a partir del segundo semestre.
No hay avance físico a la fecha</t>
  </si>
  <si>
    <t>Apoyar a 95 personas en procesos de retorno y reubicación que pertenecen  a 50 hogares víctimas del conflicto armado.</t>
  </si>
  <si>
    <t>En el periodo correspondiente de enero a junio, se atendió un total de 29,761  personas como parte del proceso de atención a las personas que se acercaron al Centro Regional de Atención a las Víctimas - CRAV. En este proceso se capacitaron a funcionarios, representantes de organizaciones de víctimas y usuarios.</t>
  </si>
  <si>
    <t>A la fecha se encuentra en proceso elaboración del plan de acción</t>
  </si>
  <si>
    <t>En el periodo de enero a junio se encuentran en funcionamñiento 10  PIOS  - Puntos de Información  y Orientación, en el territorio.</t>
  </si>
  <si>
    <t>Atender a 42,580 personas de 12.628 hogares víctimas del conflicto en el marco de ayudas humanitarias inmediatas.</t>
  </si>
  <si>
    <t>Se el período enero a junio, se atendió un total de 2,807 hogares habilitados por la ley para recibir ayuda humanitaria, conformados por 8,421 personas. 
En este proceso de atención se brindó bonos de alimentación, aseo y dotación, además de la atención a los declarantes. De esta manera, el avance correspondiente al primer semestre de 2024 es un 100% (2,807/2,807)</t>
  </si>
  <si>
    <t>En el período mayo a junio de 2024 se han caracterizado 3,756 víctimas</t>
  </si>
  <si>
    <t xml:space="preserve">Tramitar 6,350 solicitudes de personas vìctimas del conflicto armado. </t>
  </si>
  <si>
    <t xml:space="preserve">En el avance correspondiente de enero a junio  se registró un total de 155 personas víctimas del conflicto armado, atendidas e informadas a través de las atenciones psico jurídicas. </t>
  </si>
  <si>
    <t>El equipo se encuentra diseñando el protocolo y ruta para la selección de población a beneficiar</t>
  </si>
  <si>
    <t>El proyecto se viene ejecutando y reestructurando (Plan de Desarrollo) para la vigencia 2024-2027, con actividades y encuentros por gestión, la misionalidad que está desarrollando son estabilización socio económica, reconstrucción del tejido social y con enfoque diferencial. Las acciones de la estabilización socio económica son la realización de jornadas de empleabilidad en el CRAV – Centro Regional de Atención a Víctimas y en territorio, mediante el acercamiento de empresas del sector privado para la población Víctima de Conflicto Armado. La Formación en emprendimiento y entrega de iniciativas productiva reconstrucción del tejido social, como también la formación en mediación comunitaria y vinculación para personas víctimas del conflicto armado mediadoras. Por acciones tipo jornadas de conciliación y servicios jurídicos en territorio.</t>
  </si>
  <si>
    <t>Beneficiar con la estrategia "Reparar para Reconciliar" a 2.550 personas víctimas del conflicto armado.</t>
  </si>
  <si>
    <t>No reporta avance físico por cuanto no se ha recibido el producto, no ha habido pago</t>
  </si>
  <si>
    <t>Capacitar a 5,120 personas víctimas del conflicto armado en mecanismos de reparación y restitución de derechos.</t>
  </si>
  <si>
    <t>De mayo a Junio se han capacitado 525 personas</t>
  </si>
  <si>
    <t>Realizar un evento conmemorativo en donde se reconocen, recuerdan y dignifican a 1000 víctimas del conflicto armado.</t>
  </si>
  <si>
    <t>Se selecciona el  operador  en el mes de junio, Avanzar Asociados S.A.S mediante Contrato 1001-2024 4146.010.26.1001-2024. 
El acta de inicio se firma la primera semana de julio.</t>
  </si>
  <si>
    <t>Realizar 6 encuentros regionales de prevención y articulación en 4 misiones humanitarias.</t>
  </si>
  <si>
    <t>Se realizo convocatoria extraordinaria Quinta sesión Extraordinaria del Subcomité de reparación, restitución, indemnización y medidas de Satisfacción el dio miércoles 12 de junio del 2024, hora 9.30 am en modalidad virtual, con el propósito de activar el plan de contingencias del desplazamiento masivo proveniente del Corregimiento de Sabaletas, distrito de Buenaventura. Quienes llegaron a la ciudad de Cali el día 6 de junio compuesto de 19 familias equivalentes a 41 personas, participación de 17 entidades que conforman el comité</t>
  </si>
  <si>
    <t>Plan de acción de atención a migrantes y flujos migratorios mixtos formulado e implementado</t>
  </si>
  <si>
    <t>Implementación del plan de atención a migrantes y flujos migratorios mixtos en Santiago de  Cali</t>
  </si>
  <si>
    <t>BP26004723</t>
  </si>
  <si>
    <t>BP2600472310101</t>
  </si>
  <si>
    <t>Plan de acción de atención a migrantes y flujos migratorios mixtos implementado</t>
  </si>
  <si>
    <t>Realizar 1 informe de monitoreo y seguimiento elaborados</t>
  </si>
  <si>
    <t>El equipo que inició durante el mes de mayo se encuentra en fase de alistamiento para la  ejecución del plan de acción en el segundo semestre.
Por lo anterior, no se presenta avance físico</t>
  </si>
  <si>
    <t>BP2600472310201</t>
  </si>
  <si>
    <t>Prestar el servicio de oferta institucional 6.918 personas vulnerables</t>
  </si>
  <si>
    <t xml:space="preserve">En el periodo de enero a junio se tiene el siguiente avance: 
Los contratos de mantenimiento de zonas verdes y Fumigacion por valor de $ 207.902.063 y Lavado de Cubiertas bajantes y cajas de inspeccion por valor de $338.037.143 fueron adjudicados en el mes de junio. Contratista PLANEAMOS S.A.S. Contrato No. 4146,010,26,959,2024 cuya acta de inicio se firma en julio.
Contratista CONSORCIO ZONAS VERDES 2024. Contrato No. 4146,010,26,1,1147-2024 cuya acta de inicio se firma en  junio.
El contrato de  mantenimiento de plantas eléctricas por valor de $243.134.776 se publicó nuevamente y está en proceso de recibir ofertas. </t>
  </si>
  <si>
    <t>BP2600275610201</t>
  </si>
  <si>
    <t>Edificaciones de atención a la primera infancia restauradas</t>
  </si>
  <si>
    <t>En el periodo de enero a junio se tiene el siguiente avance: 
De los 10.161 cupos se atendieron 8.423 niños y niñas distribuidos asi: Arango y Cuero 2.315 cupos - Coomacovalle 1.869 cupos - Fundacoba 2.325 cupos - Funpadua 1.914 cupos.</t>
  </si>
  <si>
    <t>En el periodo de enero a junio se tiene el siguiente avance: 
Se realizaron 8 jornadas de Acompañamiento Técnico grupal orientadas a los agentes educativos para un total de 395 (AE de 137 UDS)
Se realizaron visitas de Acompañamiento Técnico a 8 Unidades para un total de población impactada 62 y  a 14 personas  del equipo Coordinador de COOMACOVALLE.
Por parte del equipo de articulación internacional se cualificó a 75 agentes educativos
Para un total de 546 Agentes Educativos asistidos técnicamente</t>
  </si>
  <si>
    <t>El proceso de  implementación de la ruta de atención incia en el mes de junio con la contratación del equipo de trabajo, se espera su desarrollo en el segundo semestre de 2024</t>
  </si>
  <si>
    <t>En el periodo correspondiente de enero a junko se avanzó en las gestiones de articulación con grupos organizados y con instituciones educativas para el desarrollo del proceso de formación en promoción de derechos y a través de talleres en temas de prevención de trabajo infantil, tal como está definido en la metodología propuesta para la vigencia 2024.</t>
  </si>
  <si>
    <t>En el periodo de enero a junio, se estableció cronograma de intervención conjunto con el ICBF y las entidades competentes para el desarrollo de la intervención, se avanzó en el desarrollo de talleres de sensibilización para la prevención del trabajo infantil, en articulación con la institución Aldeas Infantiles SOS.</t>
  </si>
  <si>
    <t>Garantizar el funcionamiento de 8 hogares de paso para la atención inmediata, en el que se atiende a 670 Niños, niñas, adolescentes y jóvenes con servicio de protección para el restablecimiento de derechos.</t>
  </si>
  <si>
    <t>Para periódo enero a junio de 2024, se proporcionó el servicio de atención a los niños, niñas adolescentes remitidos por las autoridades competentes de acuerdo a la demanda del servicio, el cual es prestado mediante convenio de asociación No. CONV ESAL  4146.010.27.1.04-2024, con la ONG Crecer en Familia, a través de los 8 hogares de paso programados.</t>
  </si>
  <si>
    <t>Para el periodo enero a  junio de 2024, se dio cumplimiento a las 2 acciones programadas para la vigencia 2024, en el marco del convenio de asociación No. CONV ESAL  4146.010.27.1.04-2024</t>
  </si>
  <si>
    <t>Apoyar un espacio juvenil de participación al que asisten 550 agentes de la institucionalidad.</t>
  </si>
  <si>
    <t>En el periodo correspondiente de enero a junio se llevó a cabo reuniones con la organización de la Plataforma Distrital de Juventud, el Consejo de Juventudes, jóvenes que forman parte de la Unidad de Acción Vallecaucana, con el fin de facilitar la comprensión de la Ley Estatutaria de Ciudadanía Juvenil y del Plan de Desarrollo; se realizó la segunda comisión de concertación y decisión y  Reunión extraordinaria de la CCD para presentar acciones de cumplimiento a los indicadores de la PP de juventudes y PD y concertación de agendas públicas</t>
  </si>
  <si>
    <t>De enero a junio  se brindó acompañamiento a la activación de la Plataforma de Juventudes en la Comuna 11 y con dos (2) organizaciones sociales. Se realizó una reunión entre la mesa directiva del Consejo Distrital de Juventud y la Secretaría de Bienestar Social, con el objetivo de armonizar el mandato juvenil con el Plan de Desarrollo; se llevó a cabo una reunión con la Plataforma de Juventud Distrital en Cali, con el propósito de articular su agenda de trabajo con la oferta del programa;  se asistió a Asamblea de la comuna 7 con el fin de reactivar el plataformado de la comuna. Además se realizó acompañamiento a actividad "Ritmo y Colores" organización que pertenece al plataformado de la comuna 14</t>
  </si>
  <si>
    <t>En el periodo correspondiente de enero a junio , se llevaron a cabo reuniones con jóvenes de dos proyectos de iniciativa de innovación social: "Jóvenes Resilientes" de ACDI/VOCA y "Jóvenes para Incidir" del Movilizatorio. Durante estos encuentros, se llegó a un acuerdo para brindarles apoyo a ambas iniciativas de innovación social, igualmente se realizó apoyo técnico en la asistencia a Feria de Servicios en la comuna 14 barrio Los Naranjos y la Feria Encadenate, se tuvo un stand y se socializó con los jovenes el SSPJ y la PP de Juventud. Se tomaron datos a jovenes, que tienen iniciativas sociales.</t>
  </si>
  <si>
    <t>De enero a junio  el equipo de trabajo realizó la organización de un plan de trabajo estructurado, destinado a las acciones en comunidad y el desarrollo oportuno de la herramienta digital; se realizó plan de trabajo con el fin de dar cumplimiento a las estrategias digitales. Nos encontramos en proceso de armonización, por lo cual en el nuevo proyecto de inversión quedara plazmada un sitio virtual que sea un canal de información constante.</t>
  </si>
  <si>
    <t>Implementación de la atención integral a las personas mayores de santiago de  cali</t>
  </si>
  <si>
    <t>BP26002661</t>
  </si>
  <si>
    <t>BP26002661101</t>
  </si>
  <si>
    <t xml:space="preserve">Numero de personas mayores con atención integral </t>
  </si>
  <si>
    <t>Asistir técnicamente una entidad territorial</t>
  </si>
  <si>
    <t>Servicio de asistencia técnica a las entidades territoriales en la formulación de sus marcos de lucha contra la pobreza</t>
  </si>
  <si>
    <t xml:space="preserve">
- Atención psicosocial presencial para identificar posibles casos de vulneración de derechos: 17
- Visitas domiciliarias para verificar condiciones de vulnerabilidad: 35
- Inscripción presencial al programa Colombia Mayor: 270
- Información sobre la oferta institucional del Programa para Personas Mayores en eventos de la Alcaldía: 4
- Notificación a beneficiarios para corroborar razones de no cobro y evitar bloqueos: 300
- Solicitud de reactivación de beneficiarios bloqueados: 35
- Orientación jurídica personalizada para personas mayores (virtual o presencial): 5</t>
  </si>
  <si>
    <t>BP26002661102</t>
  </si>
  <si>
    <t>Asistir 100 personas en temas de desarrollo de habiilidades no congnitivas</t>
  </si>
  <si>
    <t>Personas asistidas en temas de desarrollo de habilidades no congnitivas</t>
  </si>
  <si>
    <t>En el período enero a junio se logró atender 58 personas en temas de desarrollo de habiilidades no congnitivas</t>
  </si>
  <si>
    <t>BP26002661201</t>
  </si>
  <si>
    <t>Numero de personas mayores con atención integral</t>
  </si>
  <si>
    <t>Beneficiar 35.000 personas mayores</t>
  </si>
  <si>
    <t xml:space="preserve"> Para el mes correspondiente de junio 2024, se realizaron jornadas (charlas talleres y/o conferencias) relacionada con estilos de vida saludable y activo para las personas mayore= 15
Para el mes correspondiente de junio 2024, Realizar seguimiento a las solicitudes de PQRS que son remitidas al Programa para Personas Mayores, para su posterior trámite =275
 Archivar los documentos del Programa para Personas Mayores de acuerdo a las políticas de gestión documental, (Actas de reunión, carpetas y beneficiarios de priorizados)=46</t>
  </si>
  <si>
    <t>BP26002661202</t>
  </si>
  <si>
    <t>Elaborar 4 informes de monitoreo y seguimiento</t>
  </si>
  <si>
    <t>La actividad se encuentra en etapa de alistamiento</t>
  </si>
  <si>
    <t xml:space="preserve">En el periodo de enero a marzo, se realizaron reuniones donde se establecieron rutas de trabajo inicial a través de mesas técnicas
Al cierre del primer semestre se cuenta con 281 personas albergados con con disponibilidad de cupos distribuidos de la siguiente manera:
•independientes: 1 cupos 
•dependientes: 0 cupos 
•Paliativos: 0 cupos
</t>
  </si>
  <si>
    <t>Personas Mayores, niños niñas y adolescentes participantes de en encuentros intergeneracionales</t>
  </si>
  <si>
    <t>Desarrollo de Encuentros Intergeneracionales "Creando vínculos  afectivos Generacionales" en Santiago de  Cali</t>
  </si>
  <si>
    <t>BP26002757</t>
  </si>
  <si>
    <t>BP2600275710101</t>
  </si>
  <si>
    <t>Número de de personas mayores, jóvenes,
niño, niñas y adolescentes intervenidos a
través de encuentros generacionales.</t>
  </si>
  <si>
    <t xml:space="preserve">Atención y protección integral a 700 adultos mayores </t>
  </si>
  <si>
    <t>Adultos mayores que reciben atención y protección integral.</t>
  </si>
  <si>
    <t>Capacitación a cuidadores de personas mayores sobre los cambios biológicos y psicológicos en la vejez y las prácticas actualizadas de cuidado en Santiago de  Cali</t>
  </si>
  <si>
    <t>BP26002758</t>
  </si>
  <si>
    <t>Reducir el riesgo de exposición a violencia, negligencia, abandono y trato discriminatorio en las personas mayores</t>
  </si>
  <si>
    <t>Atención y protección integral a 320 personas vulnerables</t>
  </si>
  <si>
    <t xml:space="preserve">En el proceso de capacidades y promover oportunidades a la población en situación de discapacidad, durante el periodo de enero a junio, se brindó acompañamiento a 787 personas.  Se realizó capacitación a funcionarios de la Secretaría de Desarrollo Social de la Gobernación del Valle, sobre obligaciones que tienen las entidades públicas al momento de ofrecer el servicio de valoración. En este proceso se brindó acompañamiento a 10 personas.
</t>
  </si>
  <si>
    <t>Personas con enfoque etnico-racial, diferencial y poblacional atendidas</t>
  </si>
  <si>
    <t>En el periodo de enero a junio , se da inicio al  proceso de construcción y validación de los Planes de Etnodesarrollo en los consejos de comunidades negras; 
Conforme al Plan de Etnodesarrollo de Consejo Comunitario Dos Aguas previamente formulado, se concertaran las acciones puntuales del mismo, para su  ejecución en el segundo semestre</t>
  </si>
  <si>
    <t>Tejiendo Identidad, para el Buen Vivir de la Población y Comunidades Indígenas.</t>
  </si>
  <si>
    <t xml:space="preserve">Personas de las comunidades indígenas que reciben atención y orientación social, de acuerdo a su cosmovisión, usos y costumbres
</t>
  </si>
  <si>
    <t>Fortalecimiento  a los procesos de atención y orientación con enfoque diferencial étnico para la población indígena de Santiago Cali</t>
  </si>
  <si>
    <t>BP26002686</t>
  </si>
  <si>
    <t>BP2600268610101</t>
  </si>
  <si>
    <t xml:space="preserve">Número de personas de la población
indígenas atendidas
</t>
  </si>
  <si>
    <t xml:space="preserve">2000 indígenas atendidos para quienes se gestiona la oferta social
</t>
  </si>
  <si>
    <t xml:space="preserve">Beneficiarios potenciales para quienes se gestiona la oferta social
</t>
  </si>
  <si>
    <t>Para el periodo enero junio de 2024, se  atendieron 231 indigenas en jurisdicción, usos y costumbres indígenas, procesos de concertación y avance en la organización de la Politica Publica Indígena y seguimiento a entidades estatales, proceso en que asistieron líderes Wounan, Cabildo Indígena Misak, Nasa Pance " Abriendo Caminos" y Nasa Cali</t>
  </si>
  <si>
    <t>BP2600268610201</t>
  </si>
  <si>
    <t xml:space="preserve">Número de personas de la población
indígenas atendidas
</t>
  </si>
  <si>
    <t>9 Entidades territoriales asistidas técnicamente</t>
  </si>
  <si>
    <t>Brindar atención a 450 personas LGBTIQ+ en temas de orientación psicosocial y juridica para el reestablecimiento de derechos.</t>
  </si>
  <si>
    <t>En el periodo correspondiente de enero a junio se brindó  atención a 382  LGBTIQ+, en cuanto a  servicios de acompañamiento psicosocial, asesoría jurídica y trabajo social.</t>
  </si>
  <si>
    <t xml:space="preserve">Para el mes correspondiente de junio 2024, el centro de atención está completamente equipado, operativo y proyectado para funcionar adecuadamente a Diciembre 2024 </t>
  </si>
  <si>
    <t>Para el mes correspondiente a junio 2024 ,  actualmente se esta realizando el plan de trabajo y en fase de alistamiento de capacitaciones</t>
  </si>
  <si>
    <t>Para el mes correspondiente a junio 2024 ,  actualmente se esta realizando el plan de trabajo y en fase de alistamiento de diseño de boletines</t>
  </si>
  <si>
    <t>Familias Inscritas en el Programa Más Familias en Acción vinculados a los beneficios del programa</t>
  </si>
  <si>
    <t>Apoyo Del Programa Familias en Acción en Santiago de Cali</t>
  </si>
  <si>
    <t>BP26002847</t>
  </si>
  <si>
    <t>BP2600284710101</t>
  </si>
  <si>
    <t xml:space="preserve">Familias beneficiadas de transferencias
condicionadas
</t>
  </si>
  <si>
    <t>3500 Familias beneficiadas</t>
  </si>
  <si>
    <t>Familias beneficiadas de transferencias condicionadas</t>
  </si>
  <si>
    <t>Para el mes correspondiente a junio 2024,  se registra en el informe un total de 11.116 familias benefiaciadas, la cantidad tiene una variación debido a los criterios de seleccion y permanencia  del programa, establecidos en la Resolución No 00079 de 2024. Además, se reporta la realización de las siguientes actividades: atenciones en la oficina y en el territorio (2.120), atenciones a través del correo electrónico (23), y participación en jornadas de oferta servicios en el territorio cinco (5).</t>
  </si>
  <si>
    <t>BP2600284710201</t>
  </si>
  <si>
    <t xml:space="preserve">100 Talleres de orientación para el bienestar comunitario </t>
  </si>
  <si>
    <t>Talleres de orientación para el bienestar comunitario realizados</t>
  </si>
  <si>
    <t>Jóvenes inscritos en el Programa Jóvenes en Acción vinculados a los beneficios del programa.</t>
  </si>
  <si>
    <t>Apoyo al Programa Jóvenes en Acción en Santiago de Cali</t>
  </si>
  <si>
    <t>BP26002859</t>
  </si>
  <si>
    <t>BP2600285910101</t>
  </si>
  <si>
    <t>Jóvenes inscritos en el Programa Jóvenes en 
Acción vinculados a los beneficios del 
programa</t>
  </si>
  <si>
    <t>25345 Personas beneficiadas</t>
  </si>
  <si>
    <t>Personas beneficiadas con transferencias monetarias condicionadas</t>
  </si>
  <si>
    <t>16/052/2024</t>
  </si>
  <si>
    <t>Para el mes correspondiente de junio de 2024, el programa cuenta con el informe de 20.834 jóvenes beneficiarios con transferencias condicionadas; la cantidad de jóvenes tiene una variación debido a las condiciones de permanencia y salida del programa, , establecidas en la Resolución No 00137 de 2024, expedida por el Departamento de Prosperidad Social.  Asimismo se reporta un total de 631 atenciones, tanto en la oficina como a través del correo electrónico  y participación en cuatro  (4) jornadas de oferta de servicios en las Instituciones Públicas</t>
  </si>
  <si>
    <t>BP2600285910201</t>
  </si>
  <si>
    <t>6 talleres de orientación para bienestar</t>
  </si>
  <si>
    <t>A junio 30 se está elaborando los insumos pedagógicos para las capacitaciones</t>
  </si>
  <si>
    <t>Atender anualmente a 5.015 habitantes de y en calle en el territorio a través de  la oferta social.</t>
  </si>
  <si>
    <t>En el periodo enero – junio de 2024 se realizaron abordajes con la población en situación de calle directamente en el territorio, a través de jornadas comunitarias que facilitaron el acceso a servicios de asistencia social (alimentación y autocuidado); complementado con el desarrollo de acciones de orientación y acompañamiento para la activación de rutas en clave del restablecimiento de sus derechos y de acciones de IEC (información, educación y comunicación) sobre el uso adecuado del espacio público.</t>
  </si>
  <si>
    <t>Fortalecer redes de apoyo para la inclusión social de 400 ciudadanos habitantes de y en calle, y, para el abordaje integral del fenómeno social.</t>
  </si>
  <si>
    <t>Para el periodo enero - junio de 2024 se dio continuidad al proceso de fortalecimiento de Redes de Apoyo, contando con 28 actores vinculados a la Red de Amigos de la Calle que corresponden a las organizaciones sociales que brindan servicios de asistencia social a personas en situación de calle.</t>
  </si>
  <si>
    <t>Vincular a 1.600 personas a la estrategia de prevención de violencias como parte de una oferta publica de integración social.</t>
  </si>
  <si>
    <t>De enero a junio, se desarrolló la agenda distrital de la mujer donde se vincularon las acciones comunitarias de las mujeres. Esta agenda posibilitó el posicionamiento de la Subsecretaría de Equidad de Género  y se desarrollaron ofertas de servicios  en 21 territorios y entidades de Cali , donde se implementó el kiosko violeta , además de 3 sensibilizaciones de 1 hora en tres espacios de empresa privada y se vincularon 752 personas.</t>
  </si>
  <si>
    <t>Brindar atención a 950 mujeres víctimas de violencia basada en género con atención integral y que son usuarias del sistema.</t>
  </si>
  <si>
    <t>De los 850 requerimientos que en promedio se reciben anualmente, durante el periodo de enero a junio,  se reportó un total  de 254 atenciones integral día, los cuales fueron atendidos de manera satisfactoria. Por lo tanto, el avance fue del 100%.</t>
  </si>
  <si>
    <t>BP2600302710101</t>
  </si>
  <si>
    <t>Centro comunitario</t>
  </si>
  <si>
    <t>BP2600302710301</t>
  </si>
  <si>
    <t>Elaborar 70 informes de monitoreo y seguimiento</t>
  </si>
  <si>
    <t>Informes</t>
  </si>
  <si>
    <t xml:space="preserve">Se suministró vestuario, calzado, kits de aseo personal y alimentación a 14 mujeres que se encuentran bajo medida de protección de hogar de acogida. </t>
  </si>
  <si>
    <t>De los 140 requerimientos que en promedio se reciben anualmente, durante el periodo de enero a junio se reportó un total de 85 en cuanto atención en modalidad de acogida, los cuales fueron atendidos de manera satisfactoria. En este proceso, el equipo realizó las respuestas a las solicitudes de servicio y las sustentaciones de los casos que no aplican a la medida de atención por el alcance de la intervención y misionalidad. Por lo tanto, el avance para este periodo fue del 100%.</t>
  </si>
  <si>
    <t>BP26003528102</t>
  </si>
  <si>
    <t>Documentos de lineamientos técnicos realizados: 1</t>
  </si>
  <si>
    <t>BP26003528103</t>
  </si>
  <si>
    <t>Documentos de investigación realizados: 1</t>
  </si>
  <si>
    <t>Brindar capacitación a 800 personas.</t>
  </si>
  <si>
    <t>En el período de enero a junio, el equipo del Sistema Distrital del Cuidado (SIDICU) realizó talleres con mujeres cuidadoras, generando espacios de respiro y bienestar a las mujeres cuidadoras. Al final del primer semestre se beneficiaron 321 mujeres con actividades orientadas al reconocimiento y articulación de oferta de cuidado a mujeres cuidadoras, a la redistribución del cuidado con procesos de transformación cultural y la gestión del conocimiento para la implementación y seguimiento del Sistema Distrital de Cuidado, generando espacios de cuidado y formación</t>
  </si>
  <si>
    <t>En el periodo de enero a junio, se realizaron espacios de socialización y concertación con la JAL de la comuna 15 y la JAC del barrio Laureano Gómez para pilotaje de CuidARTE, además se realizaron espacios de concertación de oferta con organizaciones de cooperación internacional y sector academía para fortalecimiento de gestión del conocimiento del SIDICU, igualmente 
procesos de gestión del conocimiento, espacios de cuidado y autocuidado, y la gestión y articulación de la oferta institucional para mujeres cuidadoras y personas que requieren cuidados en la comuna 15 y el corregimiento El Saladito, en el marco de la implementación del Sistema Distrital de Cuidado.</t>
  </si>
  <si>
    <t>En el periodo correspondiente de enero a marzo, se inició la apertura de 51 comedores atendidos, en los cuales se entregaron raciones, incluso, durante los fines de semana. Para un total de 16.520 beneficiarios, al cierre del semestre se tiene que se está 
beneficiando a un promedio diario de 45.322  personas en 714 comedores.</t>
  </si>
  <si>
    <t>En el período enero a marzo, se realizaron acciones de alistamiento para el desarrollo de las actividades de intervención psicosocial y de capacitación a las gestoras. Al cierre del primer semestre se realizado y  documentado 3.386 servicios de gestión de oferta social para la población vulnerable.</t>
  </si>
  <si>
    <t xml:space="preserve">Para el mes correspondiente de junio 2024,  se elaboró los estudios previos y análisis del sector del proyecto para su publicación en el SECOP. Además se realizaron jornadas de tamizaje nutricional para la población vulnerable indigena desde el equipo de recuperación nutricional. </t>
  </si>
  <si>
    <t>De enero a junio, se adelantó la minuta patrón y análisis nutricional de los alimentos que componen el paquete alimentario, así como el inicio en la construcción del documento.</t>
  </si>
  <si>
    <t>De enero a junio, se realizó la asistencia técnica a dos organismos de la Alcaldía de Cali (Secretaria de  Vivienda y Hábitat y Secretaría de Deporte y Recreación) con el objetivo de presentar la estrategia de transversalización del enfoque de género para las mujeres  en los procesos de formulación y gestión de proyectos que puede implementar cada organismo. Se realizó asistencia técnica a los organismos Secretaría del Deporte y la Recreación y Secretaría de Cultura, Subsecretaría de Patrimonio en relación a la incorporación del enfoque de género y trazador presupuestal para la equidad de las mujeres en el proceso de planeación, implementación de política pública de las mujeres</t>
  </si>
  <si>
    <t>En el periodo de enero a junio, se avanzó con 3 funcionarios en la presentación sobre el proceso de incorporar el enfoque de género para las mujeres en la formulación y gestión de proyectos. Se ejecuta proceso de capacitación en fundamentos del Enfoque de Género con Interseccionalidad, planeación y presupuestación y trazador presupuestal para la equidad de las mujeres con 37 funcionarios y funcionarias de la Secretaria de Deportes, vinculados a los subgrupos de Fomento (Coordinadores generales, psicosociales, lideres) de los programas territoriales de la Secretaría. Total alcanzado 40</t>
  </si>
  <si>
    <t>Durante el periodo de enero a junio, se inició con el proceso de fortalecimiento de cultura organizacional, a través de la socialización del conocimiento tácito y explícito al interior de la Unidad de Apoyo a la Gestión. 
En cuanto a la planeación económica y social, la Unidad de Apoyo a la gestión participó en la construcción de los indicadores del plan de desarrollo  y en la armonización del presupuesto al  nuevo plan de desarrollo.
Los equipos jurídicos, financieros y administrativos cumjplieron con las tareas de acuerdo a su plan de trabajo.
Se publicaron actas de PQRS en la instancia del organismo</t>
  </si>
  <si>
    <t>Se aplicó la metodología diseñada en 4 jornadas de política pública realizadas todos los miércoles de junio del 2024. En estas jornadas se presentaron las políticas públicas de Bienestar Social en implementación; se socializó el avance a corte de diciembre; y se realizó formación en la metodología de seguimiento.</t>
  </si>
  <si>
    <t>En el periodo referente de enero a marzo se solicitó a los organismos de la Alcaldía de Santiago de Cali la información del seguimiento y monitoreo de siete Políticas Sociales a corte del 30 de diciembre del año 2023. Esto, a través de una solicitud formal, para que los enlaces de las Políticas Públicas puedan consolidar, y así facilitar el análisis y publicación correspondiente
En el mes de junio no se retomó la construcción del documento. El Observatorio se enfocó en asistencia técnica a organismos en el marco de la armonización..</t>
  </si>
  <si>
    <t>Se realizaron acciones como el estudio de verificación e identificación de la georreferencia de coordenadas del lote de EMCALI EIC, E60 para avanzar con la continuidad del Proyecto Laguna del Pondaje y Charco Azul en su segunda fase de desarrollo constructivo.</t>
  </si>
  <si>
    <t>Se realizó el estudio técnico y jurídico para verificar el cumplimiento de los requisitos de los hogares postulados en las convocatorias con resoluciones No. 4244.0.9.10.033-2024
 y No. 4244.0.9.10.034.2024; asi como también los hogares postulados al subsidio distrital en la modalidad de arrendamiento, afectados por las intensas lluvias y, del hogar asignado en la modalidad de adquisición de vivienda nueva o usada, para aplicar en proyectos VIP o VIS.</t>
  </si>
  <si>
    <t>Se asignaron 17 subsidios distritales de vivienda en la modalidad de arrendamiento, beneficiando a 29 hogares localizados en los sectores de La Campiña, Montebello y la Paz de la comuna 2 y comuna 13; resoluciones de asignación No. 4244.0.9.10.040-2024 y No. 4244.0.9.10.041-2024.</t>
  </si>
  <si>
    <t>Se realizaron estudios técnicos para: verificación geográfica y de coordenadas de los bienes inmuebles localizados en el sector laguna del Pondaje y charco azul; se identificaron 23 bienes inmuebles localizados en la manzana (A203) sector de la comuna 3, propiedad de particulares y objetos de adquisición para desarrollo de proyectos de vivienda VIS/VIP</t>
  </si>
  <si>
    <t>Se dio respuesta técnica y jurídica a 122 PQRS, a través del sistema Orfeo y correo institucional info.mejora.vivienda@cali.gov.co, se brindó atención a 56 ciudadanos en el marco de mejoramientos de vivienda</t>
  </si>
  <si>
    <t>Se realizó el traslado de recursos al FEV para otorgar el subisio, se adelantó proceso de alistamiento para lanzamiento de convocatoria, sin embargo, por incovenientes en módulo Subsidios no se ha abierto la convocatoria</t>
  </si>
  <si>
    <t>Continúa el proceso de actualización de información jurídica y técnica de los ejidos Legado Salinas, el fiscal Los Chorros, el fiscal Puerto Mallarino, actualizaciones al polígono del ejido Cañaveralejo, y se elaboró diagnóstico de saneamiento de predios ejidales</t>
  </si>
  <si>
    <t xml:space="preserve">Continua el estudio de las conclusiones y análisis del Ejido Legado Salinas y se elaboró documento jurídico y técnico de las incosistencias en el título del fiscal Los Chorros </t>
  </si>
  <si>
    <t>Se realizó el ajuste al DTS "Priorización Intervenciones MIH 2024-2027" insumo para realizar las 6 intervenciones previstas para la vigencia 2024</t>
  </si>
  <si>
    <t xml:space="preserve">Documentos de política elaborados </t>
  </si>
  <si>
    <t xml:space="preserve">En el marco del programa Mejorando MiHabitat, se implementó fase metodologíca de la Politica Publica MIH para definir las intervenciones a ejecutar </t>
  </si>
  <si>
    <t xml:space="preserve">Sedes restauradas </t>
  </si>
  <si>
    <t xml:space="preserve">Continua la aplicación del Eje 1 y Eje 3 de la Política Publica MIH, para el proceso de formulación de programas de Mejoramiento Integral que permitan la priorización de los asentamientos humanos a legalizar urbanisticamente </t>
  </si>
  <si>
    <t xml:space="preserve">Las 3 intervención en espacios públicos (parques  El Palo, El Filo y La Árboleda) se encuentran en  etapa precontractual, en el proceso de lanzamiento de la licitanción </t>
  </si>
  <si>
    <t>Se tiene avance de 26.349,76 m2 correspondientes a Proyectos Integrales (Proyecto Intregral Cristo Rey- Senderos, tramo 2, etapa 1; Senderos, tramo 2, fase 2; Centro de Atención al Visitante)</t>
  </si>
  <si>
    <t>Se realizó estudio jurídico a la documentación y base de datos aportada por la gerencia del proyecto Plan Jarillón de Cali, de los hogares pertenecientes a las comunas 6, 7, 13, 21 y el corregimiento de Navarro por proceso de reasentamiento, con el fin de determinar la viabilidad de la asignación con el subsidio distrital de vivienda en la modalidad de arrendamiento</t>
  </si>
  <si>
    <t>Se asignaron 138 subsidios distritales de vivienda en la modalidad de arrendamiento, a los hogares que se encuentran en proceso de reasentamiento en el marco del proyecto Plan Jarillón de Cali, localizados en las comunas 5, 7, 13 y 21 y el corregimiento de Navarro, beneficiando aproximadamente a 483 personas, por medio de las resoluciones No. 4244.0.9.10.022-2024 y No. 4244.0.9.10.023-2024</t>
  </si>
  <si>
    <t>Estabilizar 1651,41 M2 de terrenos que presentan condiciones de riesgo mitigable</t>
  </si>
  <si>
    <t>Se realizó ajuste de actividades y cambio de pospre dado que los recursos apropiados inicialmente para obras de mitigaciónen la comuna 1 y 18, no se ejecutaran debido a que DAP no ha emitido concepto de viabilidad, razón por la cual los recursos serán destinados para la ejeciucón de la Política Publica MIH en el componenten Obras de mitigación -Ameneza y Riesgo</t>
  </si>
  <si>
    <t>Se realizó estudio y proyección del proyecto de acuerdo para declarar utilidad pública, se analizó jurídicamente la viabilidad para proceder a decretar las situaciones de urgencia para expropiar por vía administrativa, se recopiló documentación para estudio de títulos y se realizó análisis jurídicos para determinar el estado actual de los 24 predios faltantes para la compra o expropiación</t>
  </si>
  <si>
    <t>BP2600274010201</t>
  </si>
  <si>
    <t>Adquirir predios con titulo justificativo de dominio en zonas de riesgo no mitigable por inundación</t>
  </si>
  <si>
    <t>Se identificaron 24 predios para compra en sector Puerto Nuevo, comuna 7: 7 predios en proceso de expropiación por via judicial, 4 en proceso de adquisición y 13 en trámite de enajenación voluntaria, para recuperar 1000 m2 de suelo y proteger al Distrito de eventos de inundabilidad</t>
  </si>
  <si>
    <t>Se adicionaron recursos con el objeto de implementar la hoja de ruta en el sector La cristalina, que consiste el reasentamiento de la población; adicionalmente se realizaron caracterizaciones sociodemograficas en el Asentamiento Humando Altos de Aguacatal, barrio Guabal, comuna 10 y, restitución de área ocupada.</t>
  </si>
  <si>
    <t>Se definió la línea de servicio a certificar “Subsidio Distrital de Vivienda”, subproceso que se encuentra adelantado en modelación y procedimientos en el sistema de calidad. Se encuentra en la etapa de  diagnóstico de los requisitos de norma ISO 9001, para determinar el grado de cumplimiento de los requisitos de la norma al interior del sistema de gestión de calidad</t>
  </si>
  <si>
    <t>Se organizaron 773 expedientes, de conformidad con las normas de gestión documental , de los cuales 556 corresponden al programa de Legalización y Titulación de predios y 217 a expedientes de contratación, registrados en el FUID</t>
  </si>
  <si>
    <t>Se actualizaron los datos en las plataformas MGA, SAP, SPI, Aplicativo Verde, Orfeo. En la plataforma Aplicativo Verde: 1.663 expedientes prestados, 298 devueltos</t>
  </si>
  <si>
    <t>El recaudo acumulado fue de  $ 254.754.643, el cual impacto del 15% de los deudores, beneficiando 526 habitantes de las comunas 4, 12 14, 15, 17 y 21; 14 deudores de crédito de vivienda cancelaron el total de la deuda, permitiendo de esta manera continuar con el proceso de titulación.</t>
  </si>
  <si>
    <t>El proceso de Depuración Contable alcanzó incorporación en el saldo la cartera del 23% del capital correspondiente a los 8 créditos a los que se les realizó análisis financiero, que equivale a una incorporación de capital por el valor de $5.8 millones pesos</t>
  </si>
  <si>
    <t>Construcción del parque de las cocinas, bebidas tradicionales y artesanías del pacifico "Parque Pacífico" de Santiago de  Cali</t>
  </si>
  <si>
    <t>BP26002976</t>
  </si>
  <si>
    <t>BP2600297610103</t>
  </si>
  <si>
    <t>Construir  la fase 1, del parque pacífico</t>
  </si>
  <si>
    <t>Centros culturales construidos y dotados</t>
  </si>
  <si>
    <t>Las actividades a este proyecto iniciaron ejecución presupuestal el 30 de junio</t>
  </si>
  <si>
    <t>En función de la entrega de estímulos se realizaron las siguientes accione: Expedición de los actos administrativos a través de los cuales se entregarán los incentivos monetarios a los cuatro (4) beneficiarios de la contribución parafiscal (Ley de Espectáculos Públicos – LEP-) para la inversión de recursos en la línea de infraestructura cultural, seguimiento a los recursos disponibles en el bienio 2023-2024 y seguimiento a la definición de los trámites de recursos no ejecutados en el bienio 2021-2022, seguimiento a la definición de los miembros del comité distrital de la contribución parafiscal de la LEP para la presente vigencia, y ajuste del proyecto de inversión a través del cual se ejecutan estos recursos en el marco del proceso de armonización presupuestal conexo al Plan de Desarrollo Distrital 2024-2027.</t>
  </si>
  <si>
    <t>Las actividades a este proyecto iniciaron ejecución presupuestal el 28 de junio</t>
  </si>
  <si>
    <t xml:space="preserve">En el marco de este producto se han realizado las siguientes acciones: Seguimiento al desarrollo del Sucursal Fest, acompañamiento en la elaboración la resolución de ganadores del Encuentro M. Montaño, elección de los comités conceptuales para el F. de teatro y F. Salsa, apertura a convocatoria para participantes del F. Salsa. </t>
  </si>
  <si>
    <t>Realizar 6 encuentro artístico y cultural de talla internacional</t>
  </si>
  <si>
    <t>La segunda versión de El Sucursal Fest se llevó a cabo en el parque de la retreta el 28 y 29 de junio, contando con participación de categorías de muralismo, grafiti, artes plásticas, arte digital, cultura geek, circo, manifestaciones artísticas LGBTIQ+, audiciones en vivo (breakin, all style, freestyle), agrupaciones y solistas de rap y urbano, beatbox, y agrupaciones de dancehall/twerk, presentaciones de VJS y DJS, colectivos de circo. Además, se contó con una agenda académica con 5 talleres: 1. sin Juicios, 2. Best Practices, 3. Arte, cultura y salud mental, 4. Impacto sonico y 5. Construyendo espacios culturales libres de violencia.</t>
  </si>
  <si>
    <t>Mediante la estrategia “Ventanilla abierta” se ha posibilitado la circulación internación de contenidos culturales de 38 personas: 3 personas con presentaciones de teatro Infantil en Paraguay; 20 en Estados Unidos en el Festival de Jazz - The New Orleans con música del Pacifico (2 grupos de 10 personas cada uno); 1 con la proyección de su película "Marithea" en el Festival de Cine  de Barcelona  y la participación en tres talleres del componente académico de este evento; 1 en el escenario musical "The Great Escape" en Reino Unido con el objetivo de presentar su portafolio musical; 8 en el 6to Festival Internacional de Folclore de Split con presentaciones de Danza Folclórica; 5 en una Gira para promocionar su más reciente sencillo "The Game" en 7 países de Europa: España, Francia, Bélgica, Países Bajos, Alemania y Republica Checa.</t>
  </si>
  <si>
    <t>Se brindó asistencia técnica a las 3 reuniones y ferias de servicios a las cuales se ha citado por parte de la Unidad de Víctimas. De igual forma, se brindó asistencia a las víctimas de la comunidad indígena desplazada Wuaunan que se encuentran asentados en el barrio Talanga.</t>
  </si>
  <si>
    <t>En el marco de este producto, se continúa asistiendo a reuniones con el ICBF y la Secretaría de Seguridad y Justicia con el objetivo de definir la metodología de principio de oportunidad adolescentes en temas culturales para posterior implementación.</t>
  </si>
  <si>
    <t>A la fecha se ha avanzado con la programación de las reuniones en las que se definirán, conceptualizará y programará el desarrollo de las estrategias de lectura, escritura y oralidad orientadas a la primera infancia. En ese sentido, también se han identificado los insumos y materiales que se requieren para la realización de las actividades asociadas a las estrategias LEO.</t>
  </si>
  <si>
    <t>Desde la coordinación general de la Red de Bibliotecas se entregaron indicaciones para la planeación y elaboración del cronograma de las acciones contempladas a la capacitación de personas en el marco de un simposio, la sistematización de experiencias y el desarrollo de encuentros formativos dirigidos a mediadores alrededor de las prácticas de lectura, escritura y oralidad.</t>
  </si>
  <si>
    <t xml:space="preserve">Se elaboró el documento que contiene los términos de referencia del estímulo orientado al fortalecimiento de proyectos artísticos y culturales desarrollados por jóvenes. En este sentido, el 6 de junio, a través de la plataforma Cultura en Línea, se publicó la convocatoria para las personas y grupos interesados en postular sus propuestas artísticas y culturales.
</t>
  </si>
  <si>
    <t>En función de avanzar con las actividades asociadas a este producto, se desarrollaron diferentes reuniones con miembros de las diferentes expresiones artísticas y con representantes de las organizaciones juveniles de la cultura Grafiteros, artistas del Hip - Hop y Freestyle para programar diferentes actividades en el marco del Festival de Freestyle programado del 2 al 9 de junio. En compañía de los representantes de organizaciones juveniles se realizaron acciones de apoyo para la planeación del Festival Sucursal Fest que se realizó en la última semana del mes de junio.</t>
  </si>
  <si>
    <t>En el marco de este producto se realizó reunión con enlaces del Programa para Personas Mayores de la Secretaria de Bienestar Social, para acordar el apoyo que brindará este organismo en función del desarrollo de agenda y las actividades a realizar en la semana de la erradicación de la violencia contra las personas mayores (entre el 11 y el 15 de junio). Se realizaron reuniones con la Mesa Municipal del Adulto Mayor y el Comité de Personas Mayores para continuar la programación y planeación de las actividades a desarrollar en el segundo semestre.</t>
  </si>
  <si>
    <t>La Sala Borges desde sus servicios bibliotecarios y actividades de extensión (Actividades de formación cultural, formación LEO, y formación de usuarios) con las fundaciones Ites Club de Leones, ASODISVALLE, Ficel ha beneficiado 1902 usuarios, 1331 entre acompañantes o cuidadores y 571 son población con discapacidad. Además, se establece alianza con el Jardín Botánico y se está programando visita pedagógica orienta a población con discapacidad.</t>
  </si>
  <si>
    <t>Capacitar 200 personas de organizaciones que promueven expresiones  tradicionales de la población afrodescendiente, para fortalecer sus acciones  en torno a  las expresiones</t>
  </si>
  <si>
    <t xml:space="preserve">Se emitió circular de inscritos para participar en los zonales clasificatorios del componente de la muestra del Festival. Posteriormente, se dio inicio a las zonales clasificatorias en Buenaventura el 4 de mayo con 57 participantes, Guapi el 18 de mayo con 23 evaluados, Cali inicio el 27 de mayo y se estima la evaluación de 456 personas.
En función de avanzar con la capacitación, se realizaron reuniones con la Secretaria de Salud para proyectar las jornadas de capacitación sobre prácticas para la manipulación de alimentos, también se realizaron reuniones de con la UNAD para revisar la propuesta para la capacitación de los expositores seleccionados.
</t>
  </si>
  <si>
    <t xml:space="preserve">Los eventos de promoción corresponden a las acciones relacionadas con la difusión de expresiones afro, a la fecha se ha avanzado con la aprobación de los diseños de la Ciudadela, específicamente para los pabellones donde se realizarán las muestras afro: Cocina, bebidas y mecatos, artesanías y diseños.
</t>
  </si>
  <si>
    <t>Realizar 7 eventos de apoyo  a  procesos de organizaciones, grupos e instituciones  que promueven valores identitarios afrodescendientes</t>
  </si>
  <si>
    <t xml:space="preserve">Se adelantaron reuniones con los líderes de diferentes organizaciones Afro de la comuna 16 y representantes del Programa CaliAfro y la organización de Colonias afrodescendientes asentadas en la ciudad para estructurar las actividades a desarrollarse en la presente vigencia.
</t>
  </si>
  <si>
    <t>Los días 22 y 23 de junio , en el Parque Panamericano se llevo a cabo el ceremonial de adoración al Sol - Inti Raymi  de acuerdo al compromiso pactado entre la Secretaría de Cultura y los 8 Cabildos y un resguardo indígena asentados en Santiago de Cali. En total se contó con la participación de 5000 habitantes.</t>
  </si>
  <si>
    <t xml:space="preserve">Promover en espacios públicos la circulación de 175 contenidos culturales </t>
  </si>
  <si>
    <t>En el marco de la estrategia "Cali vibra en los territorios" se desarrollaron las producciones técnicas y logísticas de las siguientes actividades culturales y comunitarias: 1. "Pal oriente me voy, en el oriente me quedo": En el Bulevar de Oriente, 2.  "Plazas y Parque” en el Barrio Primero de Mayo, 3.  "Espacios públicos de las comunas” en el Barrio Siloé en articulación con Silofest. 4. "Marcha del Orgullo LGTBI", 5. "Tejiendo Esperanza 2024", y 6."Festival del Oriente de Cali Salsa y Folclor. En total la circulación de 6 contenidos culturales, 31 artistas y 1050 personas asistentes.</t>
  </si>
  <si>
    <t>El 26 de junio se socializaron las actividades del proyecto ante el comité Planificación de la comuna</t>
  </si>
  <si>
    <t>En 14 Bibliotecas Públicas se han realizado intervenciones de mantenimiento: 1. Centro Cultural Comuna 1, 2. Unión, 3. Deporte y la Recreación, 4. Infantil y juvenil 5. El Sena, 6. Álvaro Mutis, 7.  Daniel Guillard, 8. Francisco J. Ruiz, 9. Desepaz, 10. Buitrera, 11. El Saladito, 12.  Naranjos 2, 13.  Rigoberta Menchú, 14. San Luis. Entre las intervenciones se relacionan limpieza hidrosanitaria, mantenimiento eléctrico, mantenimiento de aires acondicionados y corrección de goteras.</t>
  </si>
  <si>
    <t>Entre el 22 y 28 de abril se desarrolló la celebración del Dia internacional del libro y el idioma Tejiendo Historias "Colombia territorio de autores y letras" en los espacios bibliotecarios de la Red, y un evento principal en el Centro Cultural de Cali, en total se contó con la participación de 997 usuarios. También, "En el marco de la estrategia de Lectura, Escritura y Oralidad en espacios no convencionales "Travesía De Las Palabras" se continúan desarrollando: De manera articulada con instituciones y organizaciones actividades de promoción de lectura, escritura y oralidad  "Escribir en Libertad" en la cárcel de Villa Hermosa, "Pretextos para Sanar"  Fundación Clínica Infantil Club Noel y el Hospital Universitario del Valle Evaristo García.</t>
  </si>
  <si>
    <t xml:space="preserve">Desde la coordinación de los procesos LEO, se continua con la construcción, planeación y legalización de alianzas con instituciones relacionadas con procesos LEO. De igual forma, se están definiendo las fechas de intervención de las asesorías técnicas dirigidas a actores externos e internos que desarrollan procesos de lectura, escritura y oralidad.
</t>
  </si>
  <si>
    <t>Durante este periodo se se continua implementando la prestación de los servicios bibliotecarios (Préstamo externo, acceso a internet, consulta en sala, referencia, actividades culturales, actividades de lectura, escritura y oralidad, formación de usuarios, y desarrollo local) de manera inclusiva a todas las poblaciones en 57 espacios bibliotecarios ubicados en diferentes zonas de la ciudad, lo que ha garantizado un acceso seguro y equitativo a los recursos y servicios bibliotecarios, adaptándose a las condiciones cambiantes y priorizando el bienestar de la comunidad. En total se atendieron 11.179 usuarios con 417.000 servicios prestados</t>
  </si>
  <si>
    <t xml:space="preserve">En el marco de este producto, el equipo de desarrollo de colecciones se encuentra en planeación  de acciones para la publicación de proyectos literarios que contribuyan a enaltecer la cultura e identidad caleña a través de diferentes narrativas de ciudad.
</t>
  </si>
  <si>
    <t xml:space="preserve">Entre el 26 de junio y el 1 de julio se desarrolló la versión 24 del Festival, la cual tuvo como componente de innovación la Ruta del ahijado elaborada por las propias artesanas. La entrega de 20 stand en comodato a la Asociación de artesanos del azúcar; La exhibición y venta de alfeñiques de Portadores de México y la re apertura de 20 artesanas en el Parque Panamericano. Este evento se desarrolló en el Bulevar del Rio, Bulevar de Oriente, Colina de San Antonio, Plaza de Caicedo y 15 Centros Comerciales.
</t>
  </si>
  <si>
    <t>Se revisaron las observaciones realizadas por el MinCultura al documento de postulación de las fiestas de adoración al niño Dios con jugas/fugas en el norte del Cauca y Sur del Valle para posterior ajuste. Se elaboró un documento borrado de intención de alianza con los representantes de los Carnavalearos de Brasil, Panamá y Carnaval de Cali viejo, el cual está para revisión y aprobación de las partes interesadas.</t>
  </si>
  <si>
    <t>Implementación del recorrido patrimonial del complejo musical-dancístico de la Salsa en Santiago de  Cali</t>
  </si>
  <si>
    <t>BP26005211</t>
  </si>
  <si>
    <t>BP2600521110101</t>
  </si>
  <si>
    <t>Apoyar  la realización del proceso de salvaguarda  de 1 manifestación del patrimonio cultural inmaterial,  de Santiago de  Cali</t>
  </si>
  <si>
    <t>Se realizó reunión con el equipo de supervisión para revisar el  plan de trabajo.</t>
  </si>
  <si>
    <t>Implementación de estrategias orientadas a la salvaguardia de las manifestaciones y oficios del patrimonio cultural inmaterial en Santiago de  Cali</t>
  </si>
  <si>
    <t>BP26005221</t>
  </si>
  <si>
    <t>BP2600522110201</t>
  </si>
  <si>
    <t>Apoyar la realización de 9 procesos de salvaguarda del patrimonio inmaterial</t>
  </si>
  <si>
    <t>Se desarrollo la rutina de mantenimiento mensual de los ascensores 1 y 2. De igual forma, se instaló un drive para el control del ascensor #1 y puesta en funcionamiento del mismo.</t>
  </si>
  <si>
    <t>Se realizaron reuniones para avanzar con la planificación de las actividades de intervención en el Centro Cultural. Se identificaron de los insumos y elementos de construcción que se requieren para la conservación del Centro Cultural. También, se da continuidad al desarrollo de acciones orientadas al mantenimiento del Centro Cultural : Instalación de alfombra en la tarima del auditorio principal, mantenimiento y pintura en la oficina de despacho, subsecretaría de artes, adecuación de divisiones de vidrio e instalaciones eléctricas en la oficina de planeación, adecuación de escritorios e instalaciones eléctricas en oficina de red de bibliotecas, reparación de goteras en oficina de red de bibliotecas y archivo histórico, revisión y mantenimiento de aires acondicionados de oficinas.</t>
  </si>
  <si>
    <t>En función de avanzar con la divulgación y publicación del Patrimonio Cultural se han realizado las siguientes acciones: 1. Propuesta para fortalecer el Centro Histórico mediante acciones de divulgación del patrimonio cultural en el Parque Santa Rosa con el apoyo del Hotel Aristi; 2. Recorrido por el Centro Histórico con los estudiantes de la facultad de arquitectura de Popayán, donde se les habló e informó sobre los datos más relevantes del patrimonio de Cali; 3. Se realizó performance denominado “Cali oculta” en memoria de un patrimonio olvidado con los estudiantes de la Universidad San Buenaventura el 20 de mayo.</t>
  </si>
  <si>
    <t>Las actividades asociadas a este proyecto iniciaron ejecución presupuestal el 28 de junio de 2024</t>
  </si>
  <si>
    <t>Con el objetivo de identificar y caracterizar procesos culturales se ha avanzado con el desarrollo de dos talleres colaborativos aplicando metodología participativa, uno en el barrio Jorge Isaac y otro en la Galería El Porvenir.</t>
  </si>
  <si>
    <t>En el marco de este producto se elaboraron los protocolos para la implementación metodológica de la recuperación de la memoria:  Sensibilización y activación de las memorias culturales. Además, se está avanzando con la realización de tres laboratorios colaborativos en las plazas de mercado: Barrio Alameda, Jorge Isaac y Alfonso López con el objetivo de sensibilizar y activar la memoria cultural de estos territorios con énfasis en los saberes gastronómicos o de la cocina tradicional Vallecaucana.</t>
  </si>
  <si>
    <t>Realizar 9 asistencia técnica para la  implementación del plan para la recuperación de la  Memoria Cultural</t>
  </si>
  <si>
    <t xml:space="preserve">Se ha realizado el mantenimiento e intervenciones de limpieza y lavado a 21 fuentes ornamentales de Santiago de Cali: Fuentes del CAM (2), Fuentes del Paseo Bolívar (4), Fuente la Tertulia, fuentes los Niños, Fuentes Oasis, Fuente Miami, Glorieta de la Estación, Fuente de Parque del Peñón, Fuente Pila del Crespo, Fuentes Bulevar del Rio, Fuente cascada de Loma de la Cruz, Fuente Jovita, Fuente Plaza de Cayzedo (4), Fuente Parque Panamericano, . Adicionalmente, se revisaron los niveles de llenado, motores, medición de contadores, limpieza de inyectores y rejillas de succión. </t>
  </si>
  <si>
    <t>En función de avanzar con la actualización del inventario, se realizó backup de las fichas inventario,  los procesos de difusión y articulación institucionales de las 8 vigencias anteriores, se realizó plan de trabajo y se han dado respuesta a las solicitudes de instituciones custodia realizando visitas y levantando informes de estado de conservación y la articulación con el Museo la Tertulia para programar la implementación de este proyecto.</t>
  </si>
  <si>
    <t xml:space="preserve">En función de avanzar con la realización del evento de promoción y en articulación con instituciones se está avanzando con la planificación conceptual y metodológica de la conmemoración de los 114 años de la Biblioteca Centenario. Además,  se ha avanzado en la identificación de necesidades para programar la conservación preventiva y correctiva del mobiliario de las colecciones bibliográficas, fotográficas y documentales.
</t>
  </si>
  <si>
    <t>Se ha avanzado con la planificación conceptual, estratégica y metodológica de los talleres de promoción y animación de lectura, escritura y oralidad en la biblioteca para la atención de usuarios. También se identificaron los insumos que se requieren para el desarrollo de los talleres para su posterior adquisición.</t>
  </si>
  <si>
    <t>Promover  el acceso  de 3184 personas, a la  oferta cultural</t>
  </si>
  <si>
    <t>En relación a la promoción de la oferta cultural desde la Biblioteca, se está avanzando con la programación de las actividades culturales a desarrollar en esta vigencia. Adicionalmente, en el marco de la estrategia denominada “Archivo fotográfico” se han realizado las siguientes actividades: Exposición "Ríos de herencia afro" en la Biblioteca Publica Infantil y Juvenil, Socialización de las exposiciones fotográficas:"Saturia Rubiano" y "Cali rodada y revelada en las Bibliotecas Públicas del Centenario y Daniel Guillard, dinamización de exposición "Memorias de la dignidad" en la Biblioteca Pública San Luis.</t>
  </si>
  <si>
    <t>Para la preservación de los documentos del Archivo Histórico de Cali, se continua con el monitoreo de condiciones ambientales del depósito de este archivo, la revisión locativa del mobiliario e infraestructura depósito del AHC, y el acompañamiento a ejecución al programa de limpieza y saneamiento de la vigencia 2024. Adicionalmente, se realizó primeros auxilios intervenciones menores y/o a 11 documentos del AHC, se cambiaron unidades de almacenamiento (47 cajas y 58 carpetas), y se digitalizaron 1311 imágenes de documentos antiguos. Se actualizó la base de datos de planos con 2 documentos nuevos.</t>
  </si>
  <si>
    <t>Para la preservación de los acervos audiovisuales se ha avanzado con la catalogación y revisión de los LP´s ubicados en la vitrina de la sala 106. A la fecha se han catalogado 302 LP´s. Además, se han atendido a 57 personas que han realizado consulta en sala.</t>
  </si>
  <si>
    <t>Se brindó atención a 352 usuarios que de forma presencia y/o digital consultaron la documentación del Archivo Histórico de Cali, también se hizo lectura paleográfica a 204 folios del Fondo Cabildo Concejo y se atendieron las solicitudes de escrituras públicas a través de 643 peticiones respondidas. En total 995 consultas.</t>
  </si>
  <si>
    <t>Se realizó la socialización de las actividades del proyecto y el convenio ante el comité de planificación: JAC, JAL y Comunidad en General</t>
  </si>
  <si>
    <t xml:space="preserve">Vincular  4162 personas  de las  diferentes  comunas  y corregimientos, a  procesos de  capacitación artística </t>
  </si>
  <si>
    <t xml:space="preserve">Mediante resolución se publicó la lista de elegibles de los 70 cultores que harán parte del programa a través de la Plataforma Cultura en Línea y Redes. Adicionalmente, se publicó a través de boletín el listado de las 120 organizaciones que serán beneficiadas con talleres de formación artística y cultural en los territorios y, se socializó con las organizaciones el plan de trabajo que se implementará en el programa durante los 6 meses. También se realizaron mesas de trabajo con las organizaciones para revisar y validar los compromisos y/o acuerdos.
</t>
  </si>
  <si>
    <t>Se estan realizando acciones orientadas a la programación de la reunión de socialización de las actividades del proyecto ante el comité de planificación.</t>
  </si>
  <si>
    <t>A la fecha se ha avanzado con acciones para programar la socialización  actividades del proyecto al comité de planeación y a la JAL</t>
  </si>
  <si>
    <t>Se están realizando acciones orientadas a la programación de la reunión de socialización de las actividades de este proyecto ante el comité de planificación.</t>
  </si>
  <si>
    <t>Las actividades asociadas a este proyecto iniciaron ejecución presupuestal el 29 de junio de 2024</t>
  </si>
  <si>
    <t>El 26 de junio se socializaron las actividades del proyecto ante el comité Planificación de la comuna, en esta jornada también se inicio con la definición de la ruta a seguir para seleccionar los cultores que estarán a cargo de orientar los procesos de formación artísticos.</t>
  </si>
  <si>
    <t>Se están realizando acciones orientadas a la programación de la reunión de socialización de las actividades asociadas a este proyecto ante el comité de planificación del territorio.</t>
  </si>
  <si>
    <t>Se programó reunión de socialización de las actividades del proyecto con el comité planificación: JAC y JAL</t>
  </si>
  <si>
    <t>Se realizaron acciones orientadas a la programación de la runión de socialización de las actividades asociadas este proyecto ante el comité de planificación del territorio.</t>
  </si>
  <si>
    <t>Se realizaron acciones orientadas a la programación de la reunión de socialización de las actividades asociadas este proyecto ante el comité de planificación del territorio.</t>
  </si>
  <si>
    <t>Se programa reunión para hacer instalación de comité técnico y posterior socialización del comité de planificación y la JAL 13</t>
  </si>
  <si>
    <t>Las actividades asociadas a este proyecto iniciaron ejecución presupuestal el 27 de junio de 2024</t>
  </si>
  <si>
    <t>Se programó reunión para socializar las actividades de este proyecto con el comité de Planificación JAC, JAL y organizaciones constituidas de la comuna</t>
  </si>
  <si>
    <t>Se realizaron las visitas técnicas, informes de supervisión, seguimiento al plan de trabajo y el  cronograma de actividades a las 14 organizaciones que se están apoyando en el desarrollo de sus iniciativas artísticas y culturales: 1 Esquina Latina, 2 Grupo de teatro la Mascara, 3 Fundación de Teatro Experimental de Cali, 4 Fundación Escénica Cali Teatro, 5 Salamandra del Barco Ebrio, 6 Fundación Domus Teatro,  7 Fundación Castillo Sol y Luna, 8 Fundación Artística y Cultural Colectivo Teatral Infinita, 9 Fundación de Teatro y Artes Yolanda García Reina, 10 Asociación Pequeño Teatro de Muñecos, 11 Corporación Casa Naranja, 12 Fundación Espacio T, 13 Fundación Arte Escénico Nacional AESCENA y 14 Fundación Teatro del Presagio.</t>
  </si>
  <si>
    <t>Las actividades asociadas a este proyecto se contrataron el 27 de junio</t>
  </si>
  <si>
    <t xml:space="preserve">Se elaboró y publicó el documento rector del programa de concertación. Además, se elaboraron los términos específicos de participación de la modalidad Interculturalidad, larga trayectoria Ciclo 1, e Interculturalidad Ciclo 3.  De igual forma, se publicó la convotaria para los Ciclos 1 y 3 del programa de concertación y se realizó la selección de 19 propuestas (Proyectos) ganadores.
</t>
  </si>
  <si>
    <t>Apoyar la circulación  de las producciones  de  41 organizaciones  teatrales</t>
  </si>
  <si>
    <t>Se realizaron las visitas técnicas, informes de supervisión, seguimiento al plan de trabajo y el  cronograma de actividades a las 19 organizaciones que se están apoyando Mediante la estrategia de Concertación, en el desarrollo de sus iniciativas artísticas y culturales: 1 Corporación Museo La Tertulia, 2 Asociación Para La Promoción de las Artes, 3 Teatro Esquina Latina, 4 Corporación Tecnocentro Cultural Somos Pacifico, 5 Corporación Artística Cultural Salamandra del Barco, 6 Asociación para la promoción del as Artes, 7 Fundación Madame Blue, 8 Fundación Arte y Parte, 9 Corporación Ra La Culebra, 10 Fundación de Teatro y Artes, 11  Fundación Afrodescendientes por la Diversidad Social y Cultural, 12 Fundación CALICOMIX, 13 Fundación Mensajeros de Esperanza, 14 Asociación Pequeño Teatro de Muñecos, 15 Federación Colombiana de Colonias del Pacifico, 16 Fundación TEC, 17 Fundación del Artista Colombiano, 18 Fundación Tamborimba y 19 Corporación Festival Vive Callejero</t>
  </si>
  <si>
    <t>Se elaboró y publicó en la página de Cultura en línea el documento que contiene los términos de referencia dirigida a la convocatoria organizaciones de base comunitaria, social y cultural con acceso a la oferta de formación artística en el marco del programa de formación cultores.  Además, En articulación con los equipos de concertación y formación de la Secretaría de Cultura, se realizó reunión con los representantes de las organizaciones conformadas con población recicladora de oficio, en donde se les presentó la oferta cultural relacionada con los procesos de formación artística y cultural en el marco del programa cultores. En esta reunión también se brindó orientación sobre los lineamientos y la ruta a seguir para la postulación de esta población en el marco de una convocatoria, posterior a esta reunión se identificaron organizaciones interesadas en participar de este proceso.</t>
  </si>
  <si>
    <t>A la fecha se han realizado reuniones con las diferentes organizaciones de la Comunidad LGBTIQ+ donde se desarrolló la programación y planeación de las actividades a realizarse con esta población en el marco de la marcha LGBTIQ+ y el Pride (festividad de esta población).</t>
  </si>
  <si>
    <t>Realizar 4 eventos de promoción de actividades culturales,  con enfoque  de diferencial</t>
  </si>
  <si>
    <t>En el marco de las actividades asociadas a este producto se han realizado 24 socializaciones e igual número de talleres de formulación de proyectos en territorio donde se contemplaron los criterios para la postulación propuestas artísticas y culturales en el marco de la convocatoria, en total se capacitaron 610 personas. En ese sentido, se publicaron los términos de referencia y se dio apertura a la convocatoria Estímulos a través de la Plataforma Cultura en Línea, entre 6 de junio y el 7 julio. Esta convocatoria contempla la oferta 73 Becas (líneas postulación).</t>
  </si>
  <si>
    <t>Se han entregado 10 estímulos en la línea de circulación: 7 propuestas artísticas culturales a nivel internacional y 3 a nivel nacional</t>
  </si>
  <si>
    <t xml:space="preserve">
Se estructuró el programa de semilleros de investigación, en el cual se estableció el Plan de Trabajo, cronograma de actividades, y se planteo la manera de sistematizar las experiencias una vez inicien las jornadas de los semilleros. En el marco de los semilleros, se estableció una mesa trabajo permanente con la academia, entre 11 entre universidades e instituciones que tienen programas de investigación. </t>
  </si>
  <si>
    <t>Las actividades asociadas a este producto iniciaron ejecución presupuestal el 27 de junio</t>
  </si>
  <si>
    <t>Beneficiar 134 personas (entre  artistas y gestores  culturales), con  el programa de seguridad  social complementarios - BEPS-  Modalidad Anualidad Vitalicia</t>
  </si>
  <si>
    <t xml:space="preserve">Mediante decreto N° 4112 010.20.0575 del 27 de junio de 2024, se realizó transferencia a COLPENSIONES para beneficiar a 60 personas entre creadores y gestores culturales mediante la modalidad de anualidad vitalicia.  </t>
  </si>
  <si>
    <t>En el marco de este producto, se realizó conversatorio en el Barrio Obrero en la conmemoración de los 60 años de vida artística de Julio Ernesto "Fruko" mediante la estrategia del "Venite al Obrero". En articulación con las secretarias de Turismo y Desarrollo Económico se hizo muestra de emprendimientos del Barrio Obrero y se apoyó con la producción del concierto de Fruko y sus tesos. Se está participando de forma continua en la sesión del Consejo Distrital de Patrimonio. Se participó de la primera mesa de Gobernanza del Festival de Mundial de Salsa con los actores de Melomanía, Coleccionismo, Música, Investigadores, bailes y oficios, de igual forma en el Observatorio ciudadano de Transparencia</t>
  </si>
  <si>
    <t>Las actividades asociadas a este producto iniciaron ejecución presupuestal el 26 de junio</t>
  </si>
  <si>
    <t>Apoyar la formación   formal orientada a la profesionalización de 64 artistas  empíricos</t>
  </si>
  <si>
    <t xml:space="preserve">En el marco del desarrollo del programa de profesionalización se brindó apoyo en el seguimiento e implementación del plan académico establecido por la universidad y realizó acompañamiento en la socialización del plan con los 38 estudiantes. De igual forma, se realizó la instalación del comité técnico operativo para validar el plan académico que recibirán los 38 artistas empíricos (estudiantes) en el programa Licenciatura en Educación Artística que apoya la corporación Universitaria Minuto de Dios - Uniminuto (El plan académico a implementar será la malla curricular para el cuarto, quinto y último semestre del programa)
</t>
  </si>
  <si>
    <t>La actividad de promoción esta programada para realizarse en el ultimo trimestre de esta vigencia.</t>
  </si>
  <si>
    <t>Con la participación de 30 personas se han realizado 3 sesiones del   Diplomado de producción audiovisual:  1. Rol y responsabilidades del productor ejecutivo, 2. Producción creativa con Carolina Barrera y 3. Selección de proyectos, evaluación y contenido para plataformas con Dago García, en total se han realizado 24 horas de. Además, concluyó el proceso de inscripción al taller de producción con celular “Cali en vertical” con el registro de 145 personas</t>
  </si>
  <si>
    <t xml:space="preserve">A la fecha desde la entidad territorial Estudios de Grabación Takeshima se han realizado 2 asistencias técnicas: una grabación y edición musical a la Producción de Aleryn y otra con la producción audiovisual del grupo de teatro "Festival Brújula al Sur" </t>
  </si>
  <si>
    <t>Las producciones audiovisuales son el resultado de los procesos de formación contemplado en el producto 1.  La circulación de estas producciones audiovisuales estan programadas para realizarse entre octubre y noviembre.</t>
  </si>
  <si>
    <t xml:space="preserve">A la fecha se ha avanzado con el desarrollo de la programación cultural en los 5 escenarios: 1 Centro Cultural: 6 exposiciones entre las salas 1 y 3, de igual forma en la estrategia entre columnas. También se realizó el Taller de Cianotipia; 2 Teatro Municipal: Se publicó la convocatoria para los interesados en participar en el inter colegiado y se actualizaron las bases datos de artistas locales; 3 Loma de la Cruz:  Desarrollo de la Feria Artesanal; 4 Teatro al Aire libre los Cristales: Desarrolló la agenda permanente correspondiente a los talleres de canto en sus niveles I, II y III, el karaoke y la proyección de cine y 5 Teatro la Unión: Realización de talleres de canto, ensayos de danza y artes escénicas. </t>
  </si>
  <si>
    <t>Realizar  la  capacitacion de  1.047 personas  entre   jóvenes  y adultos, en  artes  populares  y tradicionales</t>
  </si>
  <si>
    <t>En el marco de este producto se realizaron 4 socializaciones y talleres de formulación de proyectos donde se brindó orientación sobre los criterios de postulación de propuestas a los interesados en participar en la convocatoria. Posteriormente, el 6 de junio se dio apertura a la convocatoria Estímulos para creación en Media Arts – Beca 047.</t>
  </si>
  <si>
    <t xml:space="preserve">A la fecha de corte se han realizado 31 visitas técnicas: 16 por solicitud de queja (PQRS) detallados así:  5 en San Antonio, 4 San Cayetano, 1 La Merced, 3 en Parcelaciones Pance, 1 Santa Rita, 1 Desepaz y 1 en San Pedro. Por cada visita se generó un informe y están en proceso de evaluación para emitir sanción; 3 visitas para verificar el estado del BIC  por petición de consejo: 2 San Antonio y 1 granada; 13 proyectos presentados para estudio de concepto favorable por parte del consejo de patrimonio ubicados en: 3 San Antonio, 2 Granada, 1 San Vicente y 2 San Cayetano, 1 San Bosco, 2 Área de Expansión, 1 Santa Teresita, 1 Prados del Norte, los cuales fueron revisados por el Consejo de Patrimonio Cultural, se aprobaron 6 proyectos y los demás se devolvieron con observaciones que deben subsanar para volver a ser revisados. </t>
  </si>
  <si>
    <t>Se han realizado 6 publicaciones: 1 presentación en la Universidad de San Buenaventura en el marco del reconocimiento del patrimonio, su normativa, sus tipificaciones como también alcance del mismo, 1  pieza gráfica en el marco de la semana santa para dar a conocer los valores patrimoniales de las iglesias,  se realizó 1 video sobre intervenciones en el patrimonio para explicar los tipos de obras permitidas de acuerdo al nivel de conservación del BIC, se realizó el 1 video sobre los incentivos, se realizó 1 pieza gráfica - juego memoria patrimonial, se realizó 1 pieza gráfica sobre los nombres de los detalles constructivos del periodo colonial.</t>
  </si>
  <si>
    <t>Revisión y ajuste de aproximadamente veinte (20) actos administrativos (resoluciones y decretos) relacionados con las funciones misionales del organismo; gestión de respuestas y recopilación de soportes para atender aproximadamente treinta y cuatro (34) PQRS radicados por usuarios externos e internos de la administración distrital; gestión de respuestas y recopilación de soporte a nueve (9) solicitudes de entes de control territoriales; continuidad en el proceso de gestión de los expedientes contractuales de la vigencia 2023 y 2024: Identificación de treinta y un (31) expedientes con personas jurídicas, de los cuales se han organizado (21), treinta y tres (33) convenios de los cuales se han organizado (12), para la vigencia 2024 se han conformado trescientos noventa y siete (397) expedientes contractuales del periodo enero a abril.</t>
  </si>
  <si>
    <t>Para el mantenimiento y fortalecimiento continuo del Sistema de Gestión de Calidad del Organismo se han realizado las siguientes acciones: cierre financiero en virtud del proceso de armonización presupuestal al Plan de Desarrollo Distrital 2024 – 2027, solicitudes de asignación PAC, emisiones de CDP y RPC, gestión de modificaciones presupuestales y asistencia técnica sobre formulación de proyectos, reportes de avance de proyectos en ejecución en SPI y cuadro 1S, gestión de 68 procesos de contratación en diferentes modalidades y 33 procesos de contratación de PS, Seguimiento al cumplimento de planes de mejora y revisión de procedimientos a cargo del organismo, difusión de los eventos realizados hasta le fecha, realización de soporte técnico de acuerdo a las solicitudes realizadas (210 MARI).</t>
  </si>
  <si>
    <t>Se ha realizado la revisión de formatos, guías, instructivos y procedimientos del sistema de gestión de calidad, realizando ajustes de estos con el apoyo de la oficina de calidad de la Secretaría de Cultura, contemplando las acciones correctivas y oportunidades de mejora, para mantener la prestación de servicios con calidad de las 12 bibliotecas certificadas y lograr   re su certificación en el presente año. A continuación, se relacionan las bibliotecas: 1. Infantil y juvenil, 2. ⁠centenario, 3. ⁠emprendimiento, 4. ⁠san Luis, 5. ⁠Daniel Guillard, 6. ⁠Desepaz, 7. ⁠Isabel Allende, 8. ⁠nuevo Latir, 9. ⁠Sena, 10. ⁠comuna uno, 11. ⁠Álvaro mutis y 12. ⁠deporte y recreación.</t>
  </si>
  <si>
    <t xml:space="preserve">Se ha realizado la revisión de insumos de reuniones sostenidas entre la Secretaría de Cultura con representantes del sector cultural para la identificación de factores a incluir en el diagnóstico de actualización del Plan Decenal de Cultura 2018-2028, y la revisión de los proyectos nuevos y de continuidad en el marco de la armonización con el Plan de Desarrollo Distrital 2024-2027 con el fin de identificar la alineación de las áreas funcionales (metas e indicadores) con las líneas de acción del PDC y construcción de la metodología para la elaboración de los documentos requeridos para la actualización del PDC que debe tramitarse a través de un proyecto de acuerdo ante el Concejo Distrital.
</t>
  </si>
  <si>
    <t>30/012/2024</t>
  </si>
  <si>
    <t>La asistencia técnica brindada hasta la fecha corresponde al acompañamiento a diferentes reuniones, jornadas y comités de planificación en comunas y corregimientos, apoyo desde el componente técnico en la adjudicación, publicación y evaluación de los procesos de contratación de 6 proyectos de inversión, así como a 3 procesos de contratación para la interventoría de dieciséis 16 proyectos de inversión, recopilación de insumos y soportes para el diligenciamiento de la matriz PROPAR e identificación de seis (6) proyectos de inversión de continuidad en el marco de la armonización con el Plan de Desarrollo 24/27 y asistencia a socialización de lineamientos para la formulación de proyectos de inversión de presupuesto participativo para la vigencia 2025.</t>
  </si>
  <si>
    <t>Al 30 de Junio del 2024 se alcanzó a realizar mediante la intervención de 470,49 m2 distribuidos de la siguiente forma:
• 278,75 m2 realizados sobre andenes en Galería la Floresta.
• 101,06 m2 realizados sobre andenes en Casa Matria.
• 35,7 m2 realizados sobre rampa en la Calle 5ta sector Capri.
• 41,16 m2 de andén reconstruido sobre el sector de Chipichape con Calle 35N.
• 13,82 m2 realizados sobre paso peatonal en el barrio El Templete.</t>
  </si>
  <si>
    <t xml:space="preserve">Al 30 de Junio del 2024, No se han registrado avances sobre el producto, se está desarrollando la planificación con el grupo operativo el alcance de las zonas a intervenir. </t>
  </si>
  <si>
    <t>Al 30 de Junio del 2024, No se han presentado avancces  de la meta producto del proyecto, toda vez que;  se encuentra en fase de concertación de la selección de beneficiarios con las Juntas de Acción de los corregimientos, se espera que en el mes siguiente se logre un avace para reportar ejecucion al proyecto.</t>
  </si>
  <si>
    <t>Al 30 de Junio del 2024, se registran avances a través del  mantenimiento realizado con grupo operativo con el fin de atender las solicitudes de la comunidad, logrando intervenir puntos en el barrio la Legua, y en la Calle 23 con carrera 16.</t>
  </si>
  <si>
    <t>Durante el periodo comprendido hasta el mes de junio, no se reportan avances, toda vez que, no se ha realizado la transferencia de recursos a Metrocali. Los equipos técnicos y jurídicos se encuentran en conjunto con el DAP y la Secretaría de Movilidad, definiendo la mejor alternativa de ejecución, de acuerdo con las funciones de los organismos establecidas en el Decreto 0516.</t>
  </si>
  <si>
    <t>BP2600399910102</t>
  </si>
  <si>
    <t>BP2600514010101</t>
  </si>
  <si>
    <t>BP260039621010101</t>
  </si>
  <si>
    <t>Durante el periodo comprendido hasta el mes de junio, no se reportan avances físicos sobre la meta del proyecto, toda vez que, el proceso se encuentra surtiendo su fase contractual, adicional se informa que en el primer trimestre se realizó al proyecto una modificación presupuestal una adición.  que se incorporo en el primer producto para el pago de interventorías de unas obras y se ha venido ejecutando por razones de contingencia sin que esto contribuya al cumplimiento de la meta de 0,5 km de vías rehabilitadas.</t>
  </si>
  <si>
    <t>Durante el periodo comprendido hasta el mes de junio se alcanzan avances del orden de 2.280,00 mt intervenidos en la zona rural, y 14.978,30 mt em zona urbana, para un total general de 17.258.30 mt o 17.258 km.</t>
  </si>
  <si>
    <t>Durante el periodo comprendido hasta el mes de junio, no se han realizado avances de la actividad, toda vez que, se encuentra en fase de planificación y contratación. Se espera consolidar avances durante el próximo trimestre. La ejecución presupuestal de este producto conlleva al pago del grupo operativo que se encuentra en proceso de planificación en sitio  y verificaciion  para el inicio de mantenimiento de puentes de la red vial urbana</t>
  </si>
  <si>
    <t xml:space="preserve">
Durante el periodo comprendido hasta el mes de junio se realizó apoyo al proceso técnico relacionado con el recaudo de la contribución por valorización, adicionalmente, se brindó apoyo en la atención del contribuyente. Frente a la obra, la misma se mantiene en fase de planificación, con el fin de realizar futuros avances. La ejecución presupuestal de este producto conlleva al pago del apoyo técnico que realiza el proceso de contribución y valorización. sin que esto contribuya al cumplimiento de la meta de realizar Construcción de 6 Km de vía urbana
</t>
  </si>
  <si>
    <t>Al 30 de Junio del 2024, Se han realizado un total de 40 procesos de desmonte y demoliciones de zonas afectadas de plan Jarillón, para un total acumulado de 7,4 %
Lugares de intervención hasta la fecha  
• Calle 84 con Carrera 1i Bis del Barrio Petecuy I,
• la Autopista Sur Oriental desde la Carrera 23 con Calle 25 hasta la calle 70
• calle 26 hasta la cra 8 bodegas ferrocarril
• AHDI Brisas del Cauca y Puerto Nuevo
• En el sector de Puerto Mallarino en AHDI la playita
• Sector Alfonso López AHDI puerto nuevo</t>
  </si>
  <si>
    <t xml:space="preserve">Se encuentra en ajuste de estudios previos para la contratación de la intervención del procedimiento para la instalación de la semaforización inteligente </t>
  </si>
  <si>
    <t xml:space="preserve">Se realizó  la transferencia a Metrocali por valor de $98.794.161.031 </t>
  </si>
  <si>
    <t>Se realizó transferencia a Metrocali por valor de $85.738.810.647</t>
  </si>
  <si>
    <t xml:space="preserve">A través de las cuadrillas de técnicos de semáforos pertenecientes al grupo de mantenimiento de la Subsecretaría de Movilidad Sostenible y Seguridad Vial, se realizó el mantenimiento de las  intersecciones controladas por semáforos de la ciudad de Santiago de Cali,  dentro de los cuales, se llevó a cabo actividades de mantenimiento preventivo y correctivo a la red semaforizada, igualmente se están estructurando los procesos contractuales como : compra de cableado encauchetado, semáforos LED, equipos de laboratorio móvil.
</t>
  </si>
  <si>
    <t>La Subsecretaría de Movilidad Sostenible y Seguridad de la ciudad de Cali ha intervenido 654 puntos de la red vial, de un total de 1,100 puntos que requieren señalización en las vías de la ciudad.</t>
  </si>
  <si>
    <t>BP-26005214</t>
  </si>
  <si>
    <t xml:space="preserve">Fortalecimiento de la Señalización vial en el Distrito de Santiago de Cali </t>
  </si>
  <si>
    <t>BP260052141010101</t>
  </si>
  <si>
    <t xml:space="preserve">Realizar la señalización de 27 Kilometros  en vias de la ciudad </t>
  </si>
  <si>
    <t xml:space="preserve">Con la ejecucion de estos recursos se implementaron estrategias educativas y de control  con los agentes de transito realizando 2059 controles operativos en via , con los cuales se pretende  una reduccion en la  mortalidad de personas involucradas en accidentes de tránsito. </t>
  </si>
  <si>
    <t xml:space="preserve">
Con la ejecución de estos recursos se dio inicio a la operación del sistema de comunicaciones de la secretaria de movilidad en el marco del programa de regulación y tránsito, igualmente se realizó la compra de uniformes de dotación a agentes de transito, se adelanto el convenio con el DITRA el cuel nos dara apoyo a los agentes de transito
</t>
  </si>
  <si>
    <t>BP260027831030101</t>
  </si>
  <si>
    <t>Capacitas 200 personas  en servicio de educación informal en seguridad en Servicio de transporte</t>
  </si>
  <si>
    <t xml:space="preserve">Se han realizado dos Comité Locales de Seguridad Vial en el cual hemos tenido presente el seguimiento de las acciones. Se ha actualizado el seguimiento al Plan Local de Seguridad Vial y se culminó el informe del seguimiento de lo realizado el año pasado. Se encuentra en proceso de continuidad para  la ejecucion de las acciones en el marco del plan local de seguridad. </t>
  </si>
  <si>
    <t>Al corte  del  30 de junio 2024, el centro de Enseñanzanza ha  Capacitado  a 58 nuevos usuarios aspirantes a conductores  en el centro de enseñanza de Automovilismo</t>
  </si>
  <si>
    <t>Se  capacitaron 30.531 Infractores de las normas de tránsito, donde se  sensibilizó en el comportamiento  vial, se adquirio el material pop con el cual se capacitan a los diferentes actores viales del distrito de santiago de cali</t>
  </si>
  <si>
    <t>Se realizaron 4 campañas de promoción y sensibilización en vía publica con corte al corte del 30 de junio de  2024</t>
  </si>
  <si>
    <t>Se promovieron  34 espacios de participacion  de movilidad, con grupos especificos ( Jac, Jal,  Comerciantes) en comunas y corregimientos del Distrito.</t>
  </si>
  <si>
    <t xml:space="preserve">Al corte del 30 de Junio  del 2024, se actualizaron los documentos requeridos de los subprocesos del  MOP del organismo. Se hizo el monitoreo del mapa de riesgos del proceso de gestion del transito y transporte. Se realiza la modificación de los procedimientos requeridos por los lideres de los subprocesos. Se encuentra en proceso de avance con la actualizacion del normograma </t>
  </si>
  <si>
    <t>1.70%</t>
  </si>
  <si>
    <t>Se ha logrado la recuperación de la cartera morosa por valor de $25.998.321.317,  el valor total de la cartera   es de   $1.528.062.642.865</t>
  </si>
  <si>
    <t>Se realizaron 180 visitas a establecimientos de comercio, en articulación con la Policía con el fin de verificar el cumplimiento de la documentación exigida según el artículo 87 del Código Nacional de Policía y Convivencia</t>
  </si>
  <si>
    <t xml:space="preserve">                     -   </t>
  </si>
  <si>
    <t>Se realizaron mesas de trabajo y se estableció el cronograma de implementación del sistema para la expedición de los certificados de permisos en línea.</t>
  </si>
  <si>
    <t>Sensibilización de 160 agentes del mercado en normas de protección al consumidor, mediante el punto de atención de la Oficina de Protección al Consumidor, se realiza orientación presencial a los ciudadanos sobre los derechos del consumidor.</t>
  </si>
  <si>
    <t xml:space="preserve">1.662 capacitaciones sobre el código nacional de seguridad y convivencia ciudadana, dirigidas tanto a personas que incurrieron en comportamientos contrarios a la convivencia y a las que asistieron a acceder a otros servicios prestados en las inspecciones de policía del Distrito, con el fin de divulgar los alcances del código y prevenir la las conductas contrarias a la convivencia por primera vez o evitar la reincidencia. </t>
  </si>
  <si>
    <t>Se reportan 2.146 personas capacitadas mediante el pilotaje de la estrategia de  prevención de violencia en el contexto familiar y de la violencia sexual, denominada  “Cali renace sin violencia con respeto y empatía”, con tres psicosociales que a través del espacio de dialogo con las familias frente a la prevención de las violencias, comunicación asertiva, resolución de conflictos, derechos y deberes de los subsistemas que hacen parte del sistema familiar, realizaron trabajo en territorio en diferentes comunas de la ciudad.</t>
  </si>
  <si>
    <t>Se estableció plan de trabajo en las zonas turísticas de Bulevar del Río, Granada, San Antonio y El Peñon, con el objetivo de mejorar las condiciones situacionales de inseguridad que se identificaron en las cartografías diagnósticas de factores de riesgo realizadas. Para cumplir esto, se desarrolló una iniciativa con los comerciantes y gremios del bulevar del fortalecimiento de frentes de seguridad y proyectos de mejora con base en la prevención situacional del delito para mejorar la convivencia en los sectores.</t>
  </si>
  <si>
    <t>Suministro de combustible para fortalecer la operatividad de Migración Colombia en Cali</t>
  </si>
  <si>
    <t>Suministro de combustible para fortalecer la operatividad de la Policía en Cali</t>
  </si>
  <si>
    <t>Suministro de combustible para fortalecer la Operatividad de la Fuerza Aérea</t>
  </si>
  <si>
    <t>Suministro de combustible para fortalecer la Operatividad del Ejército. También se avanzó en el proceso precontractual para realizar la adquisición de motocicletas con el objetivo de fortalecer la operatividad del Ejército en el Distrito de Santiago de Cali. Así mismo, se realizó el requerimiento técnico para  gestionar la adquisición del certificado de revisión técnico mecánica de los vehículos en comodato operados por el Ejército.</t>
  </si>
  <si>
    <t>suministro del servicio de voz y datos para equipos de localización PDA de la Policía Metropolitana de Cali, con el propósito de implementar el Modelo Nacional de Vigilancia Comunitaria por Cuadrantes (MNVCC). También se inició con el suministro de alimentación al organismo y se dio continuidad con la estrategia del pago de recompensas por información que permita la captura de criminales en Cali.</t>
  </si>
  <si>
    <t>Suministro de combustible para fortalecer la operatividad de la Unidad Nacional de Protección en Cali</t>
  </si>
  <si>
    <t xml:space="preserve">Adecuar 4 Infraestructuras de agencias de seguridad para la promoción a la cultura de la legalidad y a la convivencia </t>
  </si>
  <si>
    <t>Se realizaron 5 jornadas diagnósticas territoriales con los equipos previamente conformados para identificar factores de riesgo y herramientas de protección con las comunidades para construir participativamente los planes de trabajo para su mitigación</t>
  </si>
  <si>
    <t>Se atendieron 178 casos entre las tres poblaciones objetivo, garantizando la socialización y activación de las rutas a Lideresas y Líderes Defensores de DD. HH, amenazados por el ejercicio - Decreto 1066 2015; Víctimas del Conflicto Armado amenazados - Ley 1448 2011 y el protocolo de atención a Mujeres en Riesgo de Feminicidio - Ley 1257 2008. Desde el Equipo de Acción de Emergencias (EAE), hemos atendido de manera integral las tres poblaciones objetivo</t>
  </si>
  <si>
    <t xml:space="preserve">                         -   </t>
  </si>
  <si>
    <t>Prevención de violencia en jóvenes vinculados o en riesgo de vinculación a actividades delictivas en Santiago de Cali</t>
  </si>
  <si>
    <t>BP26005203</t>
  </si>
  <si>
    <t>BP2600520310101</t>
  </si>
  <si>
    <t>Intervenir a 900 jóvenes vinculados a situaciones delictivas (Servicio de promoción de convivencia y no repetición)</t>
  </si>
  <si>
    <t>Se iniciaron reuniones con jóvenes vinculados a dinámicas delictivas articulados con Policía Comunitaria en los barrios  Lleras Camargo y La Estrella de la Comuna 20, realizando actividades de generación de confianza, planeación de actividades con los jóvenes y acercamiento de oferta institucional de Secretaría de Deportes (Deporvida y Vértigo) y de Territorios de Inclusión y Oportunidades TIO´s. En estos espacios participaron alrededor de 20 jóvenes en Lleras Camargo y 15 jóvenes en La Estrella en jornadas de pre-inscripción para la Ruta de Inclusión en Empleabilidad y Emprendimiento y reuniones con mujeres de Lleras Camargo en actividad psicosocial.</t>
  </si>
  <si>
    <t>3 estrategias desarrolladas mediante las cuales se han impactado un total de 188 personas</t>
  </si>
  <si>
    <t>Se realizaron acciones de organización y control del espacio público, consiguiendo la organización de 274 vendedores informales</t>
  </si>
  <si>
    <t>El Distrito Especial de Santiago de Cali, tiene una ubicación geográfica especial entre las ciudades del país, pues de las 82.223 hectáreas (Ha), correspondientes a su área total, 11.920 hectáreas (Ha), corresponden a la zona urbana y 42.730 hectáreas (Ha) a la zona rural, es decir, que las últimas equivalen al 52% de su extensión, incorporando una gran diversidad de ecosistemas, el 31% corresponde a la Zona de Reserva Forestal y el 3% a la zona de ladera., los terrenos de ladera ocupan una extensión aproximada de 2.148 hectáreas (Ha). Lo anterior, sugún datos suministrados por el Departamento Administrativo de Planeación, los cuales estan definidos en el Acuerdo 0373 de 2014.</t>
  </si>
  <si>
    <t>Se adquirieron bienes y servicios para ejecutar los procesos misionales de la entidad y el fortalecimiento institucional. Se llevaron a cabo los Mantenimiento a equipos de radiocomunicaciones de la Secretaría de Seguridad y Justicia, y se alquiló espacio para funcionamiento del sistema de radiocomunicaciones de la Secretaría de Seguridad y Justicia.</t>
  </si>
  <si>
    <t xml:space="preserve">En el marco de la propuesta de investigación denominada ‘Barreras en la ruta de atención de Violencias Basadas en Género y estrategias para la superación de las mismas’ se avanzó en la fase de redacción del documento de investigación y su estructuración como un informe que tendrá actualización periódica trimestral denominado ‘Informe Especial: Violencia contra la Mujer en Cali’. A la fecha del presente reporte el documento se encuentra en fase de revisión y ajustes.  </t>
  </si>
  <si>
    <t>Se realizó la propuesta de investigación denominada ‘Barreras en la ruta de atención de Violencias Basadas en Género y estrategias para la superación de las mismas’. Dicha propuesta se encuentra actualmente en la fase de revisión y ajuste del documento de investigación y elaboración de productos derivados como el informe de seguridad en población LGBTIQ+.</t>
  </si>
  <si>
    <t xml:space="preserve">Se revisó y ajustó el documento metodológico que da cuenta del proceso de captura, procesamiento, consolidación, cargue y publicación de los microdatos de homicidios obtenidos a partir del Comité Interinstitucional de Muertes por Causa Externa CIMCE. El documento metodológico se encuentra en un 100% de avance al cierre del mes de Junio, pendiente de aprobación y publicación. </t>
  </si>
  <si>
    <t>En el marco de la formulación inicial del plan estratégico para la creación y puesta en marcha de un Centro de Gestión del Conocimiento y la innovación en materia de seguridad y justicia, se tuvo acercamientos con los socios técnicos identificados para tal fin y se continuó el proceso de consolidación de equipos de trabajo así como con la inclusión de nuevas líneas productos de conocimiento especialmente dirigidos a poblaciones específicas como mujeres y población LGBTIQ+, entre otros temas.</t>
  </si>
  <si>
    <t xml:space="preserve">En el desarrollo de las intervenciones de inspección, vigilancia y control, se atendieron un total de 715 diligencias de inspección de competencia del área que comprende las visitas control a construcción preventiva y rutinaria, visitas de control a ornato, visitas de control a equipos de transporte vertical y visitas por atención a PQRS. </t>
  </si>
  <si>
    <t>Mantenimiento y mejora del sistema de información para articulación del control urbano</t>
  </si>
  <si>
    <t>Realizar 20 eventos  deportivos y recreativos</t>
  </si>
  <si>
    <t xml:space="preserve">Eventos ejecutados:
1. Apoyo al cuadrangular femenino The Women´s cup. 
2. Apoyo a la carrera atlética " Luz Mery Tristán Juntos Somos Más". 
3. Apoyo al evento Gran Prix De Esgrima Modalidad Espada CALI 2024. 
4. Apoyo a la carrera atlética "Media Maratón de Cali 2024 y para el desarrollo de la preparación del campeonato master de atletismo 2024. 
5. Apoyo al evento deportivo: “XVII Torneo Internacional de Tenis en Silla de Ruedas 2024”. 
6. Apoyo al evento deportivo local “Clínica Cheer Cali 2024”.
Eventos en proceso de apoyo:
 - III Copa Internacional de Voleibol. 
 - Baloncesto en Silla De Ruedas “LIVABASIR” 
 - Carrera del Pacífico 2024 y para el desarrollo de la carrera atlética.
 - 7K Cristo Rey”
 - Copa Mundial Femenina Sub 20 - FIFA Colombia 2024.
 - Juegos de Colonias del Pacifico.
 - Juegos escolares e Intercolegiados
 - Juegos Paradistritales 2024. 
 - Ciudadelas de la Alegría en Santiago de Cali y Corregimientos (7 ciudadelas). </t>
  </si>
  <si>
    <t>En la última semana del mes de junio (de 2024) se adjudicó convenio de asociación con RECREAVALLE para la ejecución de actividades deportivas, recreativas, lúdicas y de actividad física, para el desarrollo de los proyectos de inversión de presupuesto participativo.</t>
  </si>
  <si>
    <t xml:space="preserve">A corte junio 30, de la presente vigencia (2024), se ha prestado asesoría y apoyo técnico a 50 Clubes para su reconocimiento y/o actualización. El organismo contribuye en las gestiones, según sea el caso, para el registro, formalización del reconocimiento, renovación y disolución de clubes deportivos en Santiago de Cali. </t>
  </si>
  <si>
    <t>A corte junio 30, de la presente vigencia (2024), se realizan gestiones para iniciar el servicio de apoyo a deportistas y su participación en competencias que hacen parte de la preparación para mejorar su desempeño y representación a través de la participación en diferentes certámenes deportivos contribuyendo al posicionamiento que tiene Santiago de Cali</t>
  </si>
  <si>
    <t xml:space="preserve">La incorporación de nuevos monitores permitió la apertura de los puntos de atención en comunas priorizadas en los Centros de Desarrollo Infantil – CDI, Unidades de Transformación Social y Hogares Infantiles en las comunas 14, 18, 20 y 21. Al corte junio 30 de 2024 el programa ha beneficiado 200 niño y niñas con actividades de juego, lúdica y recreación. </t>
  </si>
  <si>
    <t xml:space="preserve">Se aperturaron los puntos comunitarios en la 14 y 21. Se beneficiaron 25 niños y adolescentes con experiencias en juego, lúdica y recreación. Se asistió a la mesa intersectorial de juventudes para la atención en las instituciones educativas oficiales. </t>
  </si>
  <si>
    <t>Para el mes de junio, se amplió la oferta de diferentes disciplinas deportivas, en algunas comunas y corregimientos del distrito de Santiago de Cali. La parrilla de atención del proyecto aumentó la oferta de diferentes puntos de atención. Al corte 30 de junio se tienen 1254 niños, niñas, adolescentes y jóvenes inscritos en Escuelas Deportivas.</t>
  </si>
  <si>
    <t>Se incluyó en parrilla la oferta de deportes en nuevas tendencias. Lo cual, se ejecuta a través programa deportivo denominado “Vértigo. Al corte 30 de junio se tienen 60 jóvenes y adultos inscritos en el programa.</t>
  </si>
  <si>
    <t>En el mes de abril, mayo y junio, se abre y se inició con una oferta variada de diferentes disciplinas de deportes urbanos en algunas comunas del distrito de Santiago de Cali. La parrilla de atención del proyecto oferta 30 puntos de atención inicialmente. Al corte 30 de junio se inicia con el registro de 300 adolescentes y jóvenes inscritos en el programa vértigo.</t>
  </si>
  <si>
    <t>Las actividades de Ciclovía, empezaron desde el domingo 10 de marzo de 2024. La oferta se brinda en 17 comunas, y la ruta tiene 38 km con las diferentes estaciones y tramos. Al corte 30 de junio de 2024 se ejecutaron 17 jornadas de Ciclovía acumuladas de las cuales 12 fueron realizadas en trimestre de abril a junio.</t>
  </si>
  <si>
    <t>A través de la oferta del área de Actividad Física se han beneficiado personas de diferentes grupos poblacionales tales como: personas con discapacidad, jóvenes y personas mayores. Hasta la fecha las cifras son las siguientes: 
Beneficiarios periodo enero – marzo: 2324
Beneficiarios periodo abril – junio 2024: 1796
TOTAL: 4120 personas beneficiadas</t>
  </si>
  <si>
    <t>Se ha brindó apoyo a la estrategia CUIDARTE, mediante monitores que ofertan el servicio de actividad física y recreación. El cual, consiste en beneficiar a madres cuidadoras es por ello que la Secretaria del Deporte y la Recreación de Cali, ha apoyado esta iniciativa, con el fin de recuperar a Santiago de Cali, a través de las buenas prácticas y buenos hábitos de vida saludable en la Comuna 15. Se realizaron dos (2) servicios para la actividad física en el marco del programa “Cali Incluyente” y un (1) servicio para la actividad física en el marco del programa “Activamente”.</t>
  </si>
  <si>
    <t xml:space="preserve">A junio 30 de 2024 se avanzó en el desarrollo de acciones en territorio con mayor efectividad en tiempo y forma. Avances: nuevos acuerdos de acción con colectivos LGBTIQ+ (Fundación Pride), apertura de 10 nuevos puntos de atención: 3 para adolescentes y jóvenes del SRPA, 1 para privados de la libertad y 2 para libertad asistida, se apoyó un primer microevento de comunidades indígenas, 6 nuevos puntos de atención  para recuperadores ambientales. Con las actividades mencionadas se beneficiaron 216 personas. </t>
  </si>
  <si>
    <t xml:space="preserve">A junio 30 de 2024 se avanzó en:
 - Apertura de 5 nuevos puntos para población víctima del conflicto.
 - Se apoyó con organización y ejecución 3 eventos propios de la población víctima.
 - Se establece ruta de trabajo y se comienza intervención misional con 3 nuevas asociaciones de víctimas. </t>
  </si>
  <si>
    <t xml:space="preserve"> - El proyecto mantenimiento sala de prensa del Estadio Olímpico Pascual Guerrero se declaró desierto y el organismo publicará nuevamente.
 - La puesta a punto del Estadio Olímpico Pascual Guerrero (FIFA) se instauró el Comité Operativo que coordinará el convenio, se hizo la delegación del coordinador operativo. 
 - Proyecto mantenimiento circuito cerrado de televisión actualmente se encuentra en proceso de contratación. 
 - Proyecto mantenimiento sistema de bombeo actualmente se encuentra en proceso de contratación.
 - Proyecto mantenimiento puertas enrollables: proceso adjudicado. Se realizó la concertación de labores para el cumplimiento. Se realizó visita técnica a puertas y ascensores a intervenir.</t>
  </si>
  <si>
    <t xml:space="preserve"> - Proyecto mantenimiento puertas enrollables: proceso adjudicado. Se realizó la concertación de labores para el cumplimiento. Se realizó visita técnica a puertas y ascensores a intervenir.
 - El mantenimiento de gramas actualmente presenta un avance del 22,5% que corresponde a labores parciales de: corte de los gramados, riego, fertilizaciones foliares y granulares,  verticuts, aireaciones con pines sólidos, top dreassing con arena, micronivelaciones, deshierbes y controles de malezas, control de plagas, mantenimientos de maquinaria y equipos y limpieza permanente y retiro de sobrantes</t>
  </si>
  <si>
    <t>Se inició actividades que den solución a la seguridad de los escenarios deportivos y recreativos, velando por el estado óptimo del escenario en su funcionamiento y mantenimiento en general garantizando el sostenimiento y conservación del mismo.</t>
  </si>
  <si>
    <t xml:space="preserve"> - Se inició proceso para la categorización de los escenarios deportivos y recreativos. Se revisará estado y necesidades para priorizar sus intervenciones.
 - En proceso de contratación: adecuación de placas deportivas (barrio Asturias, Ulpiano y Obrero.
 - En proceso de contratación: Proyecto Bowl – Pumtrack.
 - En proceso precontractual: complejo pádel y trial de raquetas.
 - Proceso de estudio de suelos tiene un avance del 77.42%. Total de estudios de suelos contratados: 31, de los cuales 24 informes están entregados y 7 pendientes.</t>
  </si>
  <si>
    <t>Mejorar la infraestructura física de 4 escenarios deportivos</t>
  </si>
  <si>
    <t xml:space="preserve"> - Se inició laboras para la operación y seguimiento de los procesos técnicos de rehabilitación de los escenarios deportivo y recreativos. A través de las cuadrillas se realizan diferentes enlucimientos y mantenimientos a escenarios.
 - En proceso de contratación la adquisición de materiales de construcción y ferretería (proceso de compras comunes de la Alcaldía).
 - La adquisición de productos y/o insumos químicos está publicado para contratación. 
 - Impermeabilización de las graderías de las piscinas Unidad Deportiva Alberto Galindo se encuentra en proceso precontractual.
 - Mantenimiento del módulo de clavados de las piscinas Unidad Deportiva Alberto Galindo se encuentra en proceso precontractual.</t>
  </si>
  <si>
    <t xml:space="preserve"> - Se inició proceso para el mantenimiento de aires. Se establecer los requerimientos técnicos y se visitó cada uno de los equipos instalados en el Estadio Pascual Guerrero, Coliseo el Pueblo y la Unidad Jaime Aparicio 
 - Mantenimiento de subestaciones eléctricas: proceso contractual publicado. 
 - Mantenimiento sistema de bombeo: proceso contractual publicado.
 - Mantenimiento de Subestaciones eléctricas: proceso contractual publicado.</t>
  </si>
  <si>
    <t>Adecuar 1 escenarios deportivos (Cancha).</t>
  </si>
  <si>
    <t>Adecuación de Espacios Deportivos de la Comuna 15 del Distrito de Santiago de Cali.</t>
  </si>
  <si>
    <t>BP26004416</t>
  </si>
  <si>
    <t>BP2600441610101</t>
  </si>
  <si>
    <t>Recursos adicionados para adquisición de geotextil y sistema de drenaje para una pista de trote en gravilla (incluye recursos para interventoría). Obra realizada desde el 2023 en el parque recreativo y deportivo ubicado en la calle 57 con carrera 42b del barrio Valladito. (Recursos que complementarios a inversión 2023).</t>
  </si>
  <si>
    <t>En la última semana del mes de junio (de 2024) se adjudicó al Fondo Mixto de Promoción de la Cult., para la ejecución de actividades.</t>
  </si>
  <si>
    <t>Durante el segundo semestre de la vigencia se trabajó con el proceso de mejoramiento continuo del sistema de calidad para el fortalecimiento del mismo, las actividades contribuyeron al avance en conjunto. Como soporte del avance se del periodo se cuenta con tres (3) planes de mejoramiento, actualización de matriz de partes interesadas, matriz de gestión del cambio, alimentación y actualización plan de calidad.</t>
  </si>
  <si>
    <t>En el periodo enero – junio de 2024 se realizaron actividades de:
1. Planeación, mediante modificaciones presupuestales, formulación de proyectos comunitarios, seguimiento, y construcción del proceso de armonización. 
2. Planeación y organización de la prestación de servicios de la Secretaría destacándose la atención de tres eventos internacionales como: I) Mundial Sub20, II) COP 16, y III) Primera Maratón Internacional Certificada 2025.
3. Atención al usuario con la gestión y tramite de 1133 PQRS.</t>
  </si>
  <si>
    <t xml:space="preserve">En el periodo enero – junio de 2024 se realizaron actividades de: 
1. Atención de los servicios de información implementados son los servicios de TICS.
2. Gestión y acompañamiento a los procesos con la atención de jurídica con 48 conceptos jurídicos, atención de tutelas y revisiones de actos administrativos; de igual manera se avance con los procesos de gestión documental que son los soportes de trazabilidad contractual de la SDR.
</t>
  </si>
  <si>
    <t>Durante el primer semestre del 2024 el ODRAF enfocó sus esfuerzos a: 
 - Elaboración de los Diagnósticos locales como insumos al Plan de Desarrollo Cali pacifica 2024 -2027 y a los planes de comunas y corregimientos.
 - La gestión de los datos de orden distrital permitió la articulación con otras agencias del conocimiento.
 - A nivel nacional el ODRAF continúo con el propósito de consolidarse como una agencia de conocimiento referente para otras entidades.
 - Se logró articulación con la red de ciudades D+D de la Unesco con el objetivo de conectarnos con las principales temáticas sectoriales a nivel internacional.
 - En relación al apoyo que hace el ODRAF a las áreas de misionales de la Secretaría se destacan las siguientes cuatro actividades (4) con diecisiete (17) acciones Evaluación de la Política Pública en articulación con grupo de políticas SDR, Laboratorio de Esgrima, Medición de la Ciudadela de la Alegría y Medición de la Carrera 4,2K</t>
  </si>
  <si>
    <t>Con corte a junio  se  realizaron  905  visitas    que corresponden  a verificación de factores de riesgo por fenómenos de origen tecnológico 9  visitas,( obteniendo la georeferenciación de las estaciones  de gasolina y la capacidad de almacenamiento de combustibles.)   , riesgo natural, y socionatural  447 visitas  (eventos de movimientos en masa , lesiones en estructuras, eventos atmosfericos y  antropico  40 visitas (PMU Liga Bet play , Feria del Pacific Fest entre otros) , Transp,. Vertica 409 visitas  con sus respectivos documentos e informes  de investigación  ,con una ejecución del  62,3%  del producto .</t>
  </si>
  <si>
    <t>Implementación de un modelo de gobernanza de la gestión del riesgo de desastres en el marco de la COP 16 en el territorio de Santiago de Cali</t>
  </si>
  <si>
    <t>BP26005220</t>
  </si>
  <si>
    <t>BP2600522010101</t>
  </si>
  <si>
    <t>Elaborar 50 Documentos de investigación   (50 documentos de verificación de riesgo por fenómenos)</t>
  </si>
  <si>
    <t>Con corte a junio no se presenta ejecución fisica del producto del proyecto debido a que se esta estableciendo plan de trabajo y procesos contractuales .</t>
  </si>
  <si>
    <t>BP2600522010201</t>
  </si>
  <si>
    <t>Realizar 40 Obras de infraestructura para la reducción del riesgo de desastres (40 intervenciones para la reducción del Riesgo de Desastre )</t>
  </si>
  <si>
    <t xml:space="preserve">Con corte a junio,  no se presenta ejecución fisicca del producto del proyecto debido que se esta  estableciendo plan de trabajo y diagnostico del documento que contiene el Diseño del Sistema de información  realizado en las vigencias anteriores. </t>
  </si>
  <si>
    <t>con corte  a junio  se realizo diagnostico y analisis tecnicio   de  La versión 1.0 del Backend y Frontend del portal web , Se realizo recoleccion de informacion que contendra la pagian de la secretaria como el sistema de informacion geografica, estudios de riesgos y demas para un avance del producto del 26,6%.</t>
  </si>
  <si>
    <t>Con corte a junio  Se trabajó en el documento de seguimiento del Plan de Gestión del Riesgo de Santiago de Cali. Se incluyó la articulación de las acciones del Plan de Gestión del Riesgo con los indicadores del Plan de Desarrollo 2024-2027. Se realizó el seguimiento al cumplimiento del Plan de Acción propuesto para el escenario de riesgo tecnológico asociado con las líneas de transmisión de energía de alta tensió  para un avance del producto del 37,5%</t>
  </si>
  <si>
    <t>Con corte a junio  se realizaron  las actividades de acuerdo al plan de trabajo establecido por el area de gestión documental (seguimientio PQRSD), gestión de calidad (implementación politicas de MIPG, apoyos auditorias, seguimiento indicadores) , Contratación publica (Procesos de contratación , Seguimiento PAA,Respuesta Derechos de Petición) y Planeación(Formulación Plan de Desarrollo 2024-2027 ,Modificación formulación  , y   reporte Seguimiento a proyectos, )   asistendiendo la instancia territorial    .con una ejecución del producto del  50%</t>
  </si>
  <si>
    <t xml:space="preserve">Con corte a Junio se realiza procesos de apoyo a la supervisión asistiendo y participando activamente en eventos, citaciones, comités, sesiones de trabajo y demás reuniones relacionadas al desarrollo de los contratos de interventoría y obra relacionados al proyecto CIGRED) , se supervisa la ejecución los contratos de interventoria 4163.001.26.1.539 - 2023 relacionado al contrato de obra 4163.001.26.1.538 - 2023 , actualmente la obra de construcción se encuentra suspendida, para un avance del producto del 3,5%
</t>
  </si>
  <si>
    <t>Con corte a Junio se realizaron 13 jornadas pedagógicas en diferente comunas y corregimientos de Santiago de Cali, donde se desarrollaron temas como acciones de prevención en relación a la primer temporada seca y los efectos del fenómeno El Niño, sobre la transición a la primer temporada de más lluvias del año, en articulación con Comfenalco se dictó curso de primeros auxilios básicos, entre otros acercamientos relacionados con la Gestión del Riesgo de Desastres, donde se capacitaron 238 personas, de los cuales 19 son jóvenes entre los 14 y 28 años de edad.personas  para un avance  del  producto del  52%.</t>
  </si>
  <si>
    <t>Con corte a Junio   aun no se ha inciado a realizar actualizaciones en los planes de gestion del riesgos de las instituciones educativas oficiales., Sin embargo se realiza seguimiento al oficio enviado a la Secretaria de educacion  mediante oficio.- asunto:084"Solicitud de información de formulación e implementación de los Planes de Gestión del Riesgo Escolar  con numero de radicado: 202441630010004. con el fin de realizar un diagnostico del estado actual 
 Con un avance de producto del 30%</t>
  </si>
  <si>
    <t>Con corte a junio  Se elaboro  base de datos de las Instituciones Educativas Privadas del Distrito de Santiago de Cali. esto con el fin de de realizar un diagnostico para los procesos de formación se
elaboro   Ayudas visuales en tema Primeros Auxilios, Evacuación y Prevención de Incendios- (Talleres de formación).
  para un cumplimiento   del producto  del   12%.</t>
  </si>
  <si>
    <t xml:space="preserve">A junio, se ha avanzado en el indicador de producto en 44 hogares asociado a la meta del PDD, con un total de 5.340 hogares reasentados y/o apoyados, de los cuales, se han compensado 4305: hogares mixtos compensados por UP 22, por vulnerabilidad 137, entrega de VIP 3934, compensados a título de subsidio 109, compra de vivienda 71 y 34 hogares que ya cuentan con cierre administrativo. Hogares pendientes por reasentar con techos en pie 3.437 y hogares pendientes por compensar con techos demolidos 1033. Igualmente, ya hay un retraso en el reporte de la Secretaría de Vivienda frente a las compensaciones a título de subsidios y los subsidios de relocalización(arriendo). </t>
  </si>
  <si>
    <t>A junio, con respecto al avance del sistema de alertas tempranas asociado al seguimiento del PJC, se avanzó en la programación y realización de operativos/monitoreos diarios para promover un seguimiento en el Jarillón con cuadrillas para el proceso de demolición de techos, verificación del estado actual del territorio (sistema de protección contra inundaciones) y consolidación de información de los demás actores frente al actual del proyecto.</t>
  </si>
  <si>
    <t xml:space="preserve">Con corte a a junio se ha realizado mantenimiento y/o reparacionos locativas en las diferentes estaciones de bomberos de cali ( X1, X2, X3, X4, X5, X6, X7, X8, X9,X10, X11) entre ellas reparaciones pequeñas , instalaciones locativas , mantenimientos preventivos,  con una ejecución de producto  del  40%.
</t>
  </si>
  <si>
    <t>Con corte  a junio se  ha realizado un total de 12.247 atenciones de incidentes,por parte del Benemerito Cuerpo de  Bomberos de Cali ,  los mas representativos a la fecha son:  5516 Emergencias médicas, 1316 Controles de Abejas, 304 fugas de gas natural, 272 Caida de arboles y postes de energia  369,Rescates de animales 392, Servicios con atención de  maquina,s 342 Incendios electricos en vía pública para una ejecución de producto del 40%.</t>
  </si>
  <si>
    <t>Con corte a Junio   se esta en proceso de estructuración  el  contrato interadminitrativo con el organismo Defensa Civil , con respecto al organismo de la  Cruz Roja los mas representativo fue , la emergencia atendida el pasado 15 de mayo de 2024, la Evaluación de Daños y Análisis de Necesidades (EDAN) en las unidades residenciales de Chiminangos, la atención de las manifestaciones presentadas en la ciudad el pasado 28 de abril y 01 de mayo. Así mismo, se evidenció la disponibilidad del servicio del CITEL y ambulancia 24/7 en caso de presentarse alguna emergencia en el territorio</t>
  </si>
  <si>
    <t xml:space="preserve">Con corte a junio  A través de la simulación desarrollada, los organismos de socorro pudieron ponerse en contexto y contar cuales serían sus actuaciones ante un escenario como un sismo; posteriormente se presentó cuáles serían las tareas que deben desarrollar las entidades de acuerdo a las responsabilidades que se tienen a través de la Estrategia de Respuesta a emergencias y los protocolos adoptados en dicho instrumento. Una vez socializados los protocolos de respuesta los organismos de Socorro pudieron indicar algunas observaciones frente a las diferentes responsabilidades adoptadas.
con una ejecución del producto del  44%. </t>
  </si>
  <si>
    <t>Con corte   a junio   se formaron 484  personas en los diferentes sitios priorizados ( patio Bonito, Montañueas, Saladitos,Montañitas entre otros)  en un proceso de refuerzo de saberes en torno al SATIC, se abordaron los temas  de fenómeno del niño y temporada seca. -Se convocaron tres espacios de trabajo con 14 territorios de SATIC, los cuales se consolidaron en tres grupos fenómeno del niño y temporada seca, temporada de lluvias, primeros auxilios. Por otro lado, se desarollaron reuniones de planificación con Parques Nacionales Naturales y con personas de la Secretaría.. se tiene una ejecución de producto del  34,7%</t>
  </si>
  <si>
    <t xml:space="preserve">Con corte a junio respecto a la implementación del SAT , Se tiene el geoportal del Sistema de Alertas Tempranas Inteligentes y Comunitarias operando con 92 estaciones articuladas, de las cuales 57 están en revisión, se tienen 19 alarmas articuladas al geoportal y 10 más que están en proceso de articulación, Se tiene servicio de mensajería para emitir alertas a la comunidad. </t>
  </si>
  <si>
    <t xml:space="preserve">Con corte a junio El Geportal SATIC  se realizó  Actualización de Librerías  para garantizar la seguridad de las aplicaciones y servidores, actualización de usuarios . Para una ejecución  de producto de  40% </t>
  </si>
  <si>
    <t>Se elaboró un instructivo para el "Informe de Monitoreo y Seguimiento" de la Política Pública de Derechos Humanos de Santiago de Cali y se ajustó. Se añadió una pestaña "Armonización" en la matriz con columnas para alinear proyectos con indicadores del Plan de Desarrollo "Cali, Capital Pacífica de Colombia".</t>
  </si>
  <si>
    <t xml:space="preserve">Se concluyó tercera etapa de formación en Derechos Humanos con adolescentes del Colegio Parroquial San Joaquín 2, en El Hormiguero. Bajo el título "Soy corresponsable en la garantía de derechos para una cultura de paz" el objetivo enseñar la corresponsabilidad en la construcción de espacios y acciones para la paz.  Se logró socializar a 92 personas.
</t>
  </si>
  <si>
    <t>Se consolidó el Plan de Acción del Comité Municipal de DDHH y DIH, se realizó primera sesión ordinaria de la Mesa Municipal,  segunda sesión del Comité Municipal y reunión de asistencia técnica con líderes de la Secretaría de Paz para socializar los instrumentos de reporte y consolidar el informe semestral de seguimiento.</t>
  </si>
  <si>
    <t>Se avanzó en elaboración del material pedagógico para construcción de la Cartilla -Para la guerra no cuente conmigo-  información detallada sobre el delito de reclutamiento, datos estadísticos sobre el comportamiento de este delito, conceptos sobre uso, utilización y reclutamiento y se  mencionan algunas instituciones.</t>
  </si>
  <si>
    <t xml:space="preserve">Se realizaron jornadas de formación en derechos y prevención del delito de reclutamiento, uso y utilización de NNAJ en los Colegios Juan Pablo II de la comuna 20,  Santa Luisa de Marillac de la comuna 7  y en el Centro Educativo  Luis Madina de los grados  quinto, novenos y decimos. </t>
  </si>
  <si>
    <t>Se avanzó en la prevención del delito y el apoyo a poblaciones vulnerables en la feria "La radio a tu barrio" en Petecuy I, comuna 6 con prevención de la trata de personas y dos ferias en la comuna 14 para apoyar a retornados y migrantes venezolanos, para su integración con servicios integrales y actividades comunitarias.</t>
  </si>
  <si>
    <t>Reunión de articulación con el Instituto de Intervención para la Paz de la Univalle, con el propósito de explorar las viabilidades para la realización de un conversatorio enfocado en la promoción y prevención de la vulneración de los Derechos Humanos en Santiago de Cali.</t>
  </si>
  <si>
    <t>Capacitar a 1200  personas en derechos humanos y prevención de trata</t>
  </si>
  <si>
    <t xml:space="preserve">Capacitación en Derechos Humanos a través de la Escuela "Mis Derechos Más Humanos" en las IEO Eustaquio Palacios y Elías Salazar García, para sensibilizar a estudiantes sobre temas críticos: trata de personas, el reclutamiento de NNA y desaparecidos. Buscando educar y concienciar para prevenir.
</t>
  </si>
  <si>
    <t>Sesiones del Comité Interinstitucional de Lucha contra la Trata de Personas. Se coordinó  entre entidades  para fortalecer estrategias de prevención, atención y persecución del delito. Revisión del plan de acción, estadísticas y casos, se propusieron nuevas estrategias interinstitucionales.</t>
  </si>
  <si>
    <t>Se realizó intervención con el mecanismo de mediación en distintas manifestaciones sociales y  promoción de espacios de dialogo en escenarios sociales. Se acompañaron las marchas Lgtbiq+, y en el marco del Paro Nacional de Docentes y mesas técnicas para espacios de diálogos.</t>
  </si>
  <si>
    <t>Implementó estrategia  "Vení reconciliémonos y construyamos paces desde los territorios". Se ajustó la metodología, presento oferta a la comunidad con visitas y reuniones, se realizaron cuatro talleres en las IE Isaías Duarte Cancino y Nuestra Señora de los Remedios, reuniones con líderes en ladera y oriente para socializar el componente formativo en mediación comunitaria.</t>
  </si>
  <si>
    <t xml:space="preserve">Promover 8 espacios de partiicipacion ciudadana  que faciliten  la reconciliación </t>
  </si>
  <si>
    <t>Se realizó reunión de articulación con el  PNUD, se presentaron los procesos que se vienen desarrollando y revisaron puntos en común para desarrollar acciones en el territorio encaminadas a la generación de espacios formativos en torno a la construcción de paz, la superación de la estigmatización, la tolerancia y la reconciliación.</t>
  </si>
  <si>
    <t>Generar 5 espacios de  integración de oferta pública en las rutas acceso dirigida a  los excombatientes del conflicto armado.</t>
  </si>
  <si>
    <t>Articulación para feria de servicios “Volvamos a mi Cali bella”en la comuna 14, participación de diferentes Secretarias dieron a conocer sus servicios y desde el equipo de reincorporación y reintegración se llevó a cabo la actividad “El arte de tejer…nos”, se busca a través del tejido y el bordado construir lazos encaminados a la reconciliación, la integración comunitaria y la construcción de paz.</t>
  </si>
  <si>
    <t>Beneficiar a  200 personas con el servicio de apoyo en el acceso a programas de educación en el trabajo y el desarrollo humano</t>
  </si>
  <si>
    <t>Reunión de articulación con la Personería para identificar acciones para el desarrollo humano de la población excombatiente. Se encontró una oferta relacionada con las formas de hacer veeduría ciudadana que esto aporta al desarrollo de la dimensión ciudadana en el marco de las rutas de reincorporación y reintegración.</t>
  </si>
  <si>
    <t>Realizar 7 misiones humanitarias en la  prevención a violaciones de derechos humanos</t>
  </si>
  <si>
    <t>Infraestructura para la promoción a la cultura de la legalidad y a la convivencia  adecuada</t>
  </si>
  <si>
    <t xml:space="preserve">Este producto no avanza presupuestalmente debido a la necesidad de realizar un estudio hidrostático recomendado por el ingeniero de diciembre de 2023 para evaluar la estructura de la Casa por posibles rotaciones causadas por humedad en el suelo. Se avanza en conversaciones para el diseño del Café Tienda e iniciar su planificación.
</t>
  </si>
  <si>
    <t xml:space="preserve">Realizar 1 documento de lineamientos técnicos en el funcionamiento y actualización del Museo de la Casa de las Memorias del Conflicto y la Reconciliación </t>
  </si>
  <si>
    <t>El documento de lineamientos tecnicos debe hacer parte y complementar el plan museologio, por ese motivo se diseño una ruta para su ajuste y actualización el plan museologico de la CMCR, contando con la asesoria tecnica del Centro Nacional de Memoria Historica.</t>
  </si>
  <si>
    <t>Se formularon 2 iniciativas: La primera para promover la gestión de publicos y segunda para pormover la participacion de las victimas y los sectores sociales en la construcción de narrativas de memoria historica. La iniciativas iniciaran su implementación en el mes de Julio.</t>
  </si>
  <si>
    <t>Implementar 24 iniciativas  de 155, en la promoción de la convivencia pacífica</t>
  </si>
  <si>
    <t>Los espacio de diálogo y conversación que se han gestado  con la participación de colectivos y organizaciones sociales, comerciantes, empresarios y personas con cargos de representación como ediles y presidentes de las JAC con la participación de Participación Ciudadana, DAGMA,Seguridad y Justicia, Cultura.</t>
  </si>
  <si>
    <t>Capacitar a 200 personas en estrategias de impacto  que promuevan la paz y la convivencia pacífica.</t>
  </si>
  <si>
    <t>El proceso de formación se realizarse en el marco de la CO16 a  Ediles y demás personas de la ciudadanía con un enfoque en eventos como el Festival Petronio Álvarez, la Feria del Libro, Mundial de Salsa, formación en resolución pacifica de conflictos, construcción de lazos de confianza y articulación con la administración. Se cuenta con metodologia elaborada.</t>
  </si>
  <si>
    <t xml:space="preserve">En el mes de septiembre se realizará conciliaton con los 104 juces de paz </t>
  </si>
  <si>
    <t>Suscribir 7 compromisos  de articulación entre las instituciones responsables de la implementación de la Justicia de Paz</t>
  </si>
  <si>
    <t>Se realizaron 2 actividades en Instituciones educativas, y se realiza una miniconciliaton</t>
  </si>
  <si>
    <t>Espacios de articulación interinstitucional. segunda “Mesa Territorial para la Reincorporación, la Reconciliación y la Paz Territorial del Valle del Cauca”;  reunión con la Misión de Verificación de la ONU; reunión de COP 16 y el apoyo necesario, y la jornada pedagógica el 14 de junio sobre justicia transicional y lineamientos para los TOARS y  espacio sobre participación diversa.</t>
  </si>
  <si>
    <t xml:space="preserve">Actualizar  el  documento Plan distrital de reincorporación y reconciliación con enfoque de género y diferencial </t>
  </si>
  <si>
    <t>Con el objetivo de armonizar el documento del plan distrital de reincorporación con el programa integral de reincorporación se hará reunión con la coordinadora del grupo territorial de la Agencia para la Reincorporación y Normalización – ARN y  encontrar puntos en común y acciones a fortalecer desde el plan.</t>
  </si>
  <si>
    <t>Se participó en el espacio de integración de oferta pública “Porque mi liderazgo cuenta”, con el objetivo de que asistentes conocieran temas de reincorporación y reintegración y actividades que el equipo realiza en pro de la construcción de paz, la reconciliación y la superación de la estigmatización.</t>
  </si>
  <si>
    <t>Se realizará un espacio de participación en el que se socialice lo trabajado y de esta manera se presente el documento en su versión final. Se avanza en los ajustes correspondientes al plan distrital de reincorporación t en planificar las mesas de diálogo,</t>
  </si>
  <si>
    <t>Capacitar 100 personas  en derechos humanos de los pacientes con alguna afectacion en su salud fisica o mental, sus familia y comunidad.</t>
  </si>
  <si>
    <t>Se avanzó con la sistematización y análisis de datos de participantes en la formación realizada con usuaios de la ESE Centro. El último taller programadocon los jóvenes del colegio Juan XXIII pacientes de la ESE Centro que hacen parte del servicio sociales se reprogramo</t>
  </si>
  <si>
    <t xml:space="preserve">Implementar 5 estrategias de promoción de la garantia de  derechos Humanos en Salud y en Salud Mental </t>
  </si>
  <si>
    <t>Se desarrollaron estrategias de promoción y prevención, se destacan encuentros y talleres con jóvenes, adultos mayores, personas LGBTIQ+  y con discapacidad. Se formalizaron colaboraciones con Fundación Crecer en Familia y el Hospital Geriátrico Ancianato San Miguel.</t>
  </si>
  <si>
    <t>Realizar un documento tecnico en  la gestión de los procesos de atención en salud y salud mental.</t>
  </si>
  <si>
    <t>Se avanzó documento de lineamiento técnicos con la especificidad de la estrategia y metodología implementada con personas en situación de discapacidad y adulto mayor. Y se realizó reunión de articulación  con el fin de construir el protocolo en salud y salud mental para líderes y lideresas sociales.</t>
  </si>
  <si>
    <t>Se realizaron articulaciones con diferentes universidades con el fin de conocer el valor y el contenido programático del Diplomado en Derechos Humanos y Construcción de Paz y rreunión de articulación con la Personería para formación como veedores certificados por la Personería.</t>
  </si>
  <si>
    <t>Se elaboraron los componentes: Normativo, Metodológicos y Psicosocial que harán parte integral del Documento de Lineamientos Técnicos para la Red de Defensores y (as) Populares de Derechos Humanos.</t>
  </si>
  <si>
    <t>Se realizó avance de definición metodológica tanto para la formación, el marco normativo y a la gerorefenciación de inciativas y violencia contra lideresas desde  la cartografía social. También se avanzó en la construcción metodológica para las  herramientas de autocuidado y atoprotección.</t>
  </si>
  <si>
    <t>4 atenciones a lideresas sociales por situación de riesgo por presuntas amenazas contra su vida, a estos casos se les brindó asesoría jurídica y psicosocial en el marco del proceso de la ruta de atención a situaciones de amenazas a lidersas sociales. Reunión de articulación con la UNP para casos de la comuna 21.</t>
  </si>
  <si>
    <t>Se avanzó en la escritura del documento técnico en lo relacionado con los capítulos del Diagnóstico y el marco normativo. Se desarrolló la tercera reunión de asistencia técnica con el equipo de Políticas Públicas del Departamento Administrativo de Planeación Distrital.</t>
  </si>
  <si>
    <t>Se realizaron espacios de diálogo, con miembros de la inciativa comunitaria Paz sin Estigmas, con comunidad de la comuna 18 y con líderes de la vereda la cruz del corregimiento de la Buitrera.</t>
  </si>
  <si>
    <t xml:space="preserve">Implementar un sistemas de información de los líderes, lideresas sociales, defensores y defensoras de Derechos Humanos </t>
  </si>
  <si>
    <t>Se cuenta con un sistema de información el cual permite obtener y gestionar los resultados de los casos atendidos relacionados con vulneraciones de Derechos Humanos.</t>
  </si>
  <si>
    <t>En el marco de la Estrategia de Promoción de la garantia de DDHH se realizó participación  en el encuentro porque mi liderazgo cuenta; socialización de la Ruta de Atención en la Feria de Servicios Volvamos a mi Cali Bella y lanzamiento con entidades e instituciones de la Ruta de Atención a Líderes, Lideresas, Defensores, Defensoras de Derechos Humanos.</t>
  </si>
  <si>
    <t>Se cuenta con cronograma a desarrollar a partir del mes de agosto.</t>
  </si>
  <si>
    <t>Promover 2 espacios  intersectoriales e interinstitucionales coordinados en estrategias de corresponsabilidad y cooperación en la consolidación de la paz territorial junto con líderes territoriales</t>
  </si>
  <si>
    <t xml:space="preserve">Se  articuló con el equipo de la subsecretaria de prevención y cultura ciudadana y generó una contextualización e invitación a la comunidad para fortalecer las acciones de la cultura ciudadana. Se avanzó en la planeación logistica, revisión documental para diseñar la estrategia de estimúlos y  seguimiento de equipo. </t>
  </si>
  <si>
    <t>Se recibio la propuesta de memorando de entendimiento con OIM  y esta en proceso de revisión, se partipó de reunión  con el equipo de las naciones unidas; Se participó de reunión con el equipo de Recoincorporación y reintegración el PNUD en la búsqueda de ampliar opciones de cooperación entre las partes.</t>
  </si>
  <si>
    <t>Capacitar  500  personas en 15 Instituciones educativas oficiales con estrategias distritales en educación para la paz y gestión dialógica del conflicto.</t>
  </si>
  <si>
    <t>Se desarrolló talleres de formación en la IEO Luz Haydee Guerrero Molina y capacitación a profesionales del proyecto sobre el Acuerdo de Paz; inició un taller de memorias del conflicto en el Saladito y reuniones en varias IE. Se avanzó también en la caracterización en la IEO Luz Haydee Guerrero Molina.</t>
  </si>
  <si>
    <t xml:space="preserve">Realizar un documento metodológico de educación para la paz y gestión dialógica del conflicto </t>
  </si>
  <si>
    <t xml:space="preserve">
Desarrolló de actualización y seguimiento de la pauta metodológica neuropsicosocial. Se completó el avance 1 que incluye la guía para el Grupo Focal sobre resolución de conflictos, participación política, memoria histórica y proceso de paz. Avance en propuesta para el espacio de Sensibilización a acudientes en las IEO.</t>
  </si>
  <si>
    <t>Se está avanzando en la revisión del documento de política pública de barrismo social. Se presento un concepto con observaciones y correcciones sugeridas para el documento. Se han llevado a cabo varias jornadas de analisis del mismo junto con el equipo de la Secretaría.</t>
  </si>
  <si>
    <t>Se realizo la segunda mesa interinstitucional de barrismo social (1). Se realizaron visitas a los bloques del BRS (4) y las legiones del FRV (9)</t>
  </si>
  <si>
    <t>Se capacitaron 100 personas con el programa formativo "Conviviendo con Responsabilidad" se realizaron en la comuna 14 en el marco de la feria de servicios en el Polideportivo Los Naranjos, Las demas se realizaron  en las comunas: 2, 4 y  17.  Se creo comite  para el manejo de heces y tenencia responsable y se realizara intervenciones.</t>
  </si>
  <si>
    <t xml:space="preserve">Se aprobó un Plan de Formación sobre Tenencia Responsable de Mascotas en la plataforma digital de la alcaldía, compuesto por 4 módulos. Este plan tiene como objetivo fomentar el respeto al entorno a través de la tenencia responsable de mascotas.
</t>
  </si>
  <si>
    <t>Se realizo reunion interinstitucional (UAESP, POLICIA AMBIENTAL, UAEPA), para la planeacion y articulacion, del evento del proximo 21 de julio: DIA DEL PERRO, se espera articulacion con graficalia para la toma del corredor de la 25.</t>
  </si>
  <si>
    <t>Implementar  un sistema de gestion en líneas de servicios certificadas del proceso Gestión de Paz y Cultura Ciudadana bajo la norma técnica de gestión de Calidad ISO 9001:2015</t>
  </si>
  <si>
    <t>Avances en la implementación y mantenimiento  a través de acciones que dan cumplimiento a los numerales de la norma: reuniones de asistencia tecnica salidas no conformes, seguimiento  de PQRS,   formulación del proyecto de línea certificado, socializacion del PAAC,  inducciones y reinducciones entre otras.</t>
  </si>
  <si>
    <t>Capacitar 150 personas en procesos de divulgación  y socialización de los  componentes del MIPG en los procesos</t>
  </si>
  <si>
    <t xml:space="preserve">Se solicito asistencia tecnica del DADII  para realizar las capacitaciones en temas de MIPG y SGC para las 150 personas de la Secretaría, a su vez se realizo reunion con los miembros del proyecto para actualizar documento metodologico de las sensibilizaciones y capacitaciones
</t>
  </si>
  <si>
    <t>Elaborar un documentos de investigación  cuantitativa y cualitativa en temas de paz, cultura ciudadana, respeto por la casa común y otros seres sintientes, derechos humanos y acuerdo de paz</t>
  </si>
  <si>
    <t>Actualización y seguimiento de la pauta metodológica neuropsicosocial. Se completó el avance 1 invluye  guía para Grupo Focal sobre resolución de conflictos, participación política, memoria histórica y proceso de paz. Avance en pauta de Resolución y propuesta para sensibilización a acudientes.</t>
  </si>
  <si>
    <t>Mantenimiento del sistema de información, generando nuevos mapas de presencia territorial en IE. Añadio nuevo menú en el Looker Studio y se pusieron los mapas georreferenciando datos. Se realizó sondeo sobre Cultura Ciudadana con 420 encuestas.</t>
  </si>
  <si>
    <t xml:space="preserve">Política Pública de Cultura Ciudadana formulada, aprobada y socializada </t>
  </si>
  <si>
    <t>Se elaboró presentación con el resumen del documento de lineamientos de la política pública  y se sesiones del Consejo Consultivo de CC y planeación del curso de cultura ciudadana que se dictará en articulación con la Cámara de Comercio de Cali</t>
  </si>
  <si>
    <t>Realizar  10 espacios de Socialización del documento de Política Pública de Cultura Ciudadana</t>
  </si>
  <si>
    <t>Se realizó durante este período el proceso de planeación de los próximos espacios de socialización de la Política Pública, los cuales se llevarán a cabo en el mes de julio.</t>
  </si>
  <si>
    <t>En el mes de junio se realizó un taller en el marco dela implementación de la pauta de Cuidar para la Vida en el corregimiento el Hormiguero cabecera con  un total de 35 personas impactadas.</t>
  </si>
  <si>
    <t xml:space="preserve">En la IE República de Panamá se realizó el 3 taller, en el instituto Técnico Luis Madina se desarrolló el 2 taller y en IE Santa Luisa de Marillac el 3 taller,  impactados con la estrategia La Paz es mi Cuento. Se reprogramo en todas las IE a causa del paro de docentes y periodo vacacional. </t>
  </si>
  <si>
    <t xml:space="preserve">Personas formadas en cultura ciudadana para la paz, la convivencia y la reconciliación </t>
  </si>
  <si>
    <t xml:space="preserve">Implementación de Sumar paz restando Violencias: talleres en  Instituciones educativas Ciudadela Desepaz, Llano Grande sede Calimío, I. T. Luis madina. Las IE este mes tuvieron una semana de paro y posterior a eso salieron al periodo vacacional. </t>
  </si>
  <si>
    <t>Se acompañó Volvamos a mi Cali Bella en el Barrio Petecuy  y Los Naranjos y la feria de servicios para colombianos retornados,  población migrante venezolana  y  de acogida en el C.A.L.I 14 con estrategias Cuidar para la Vida, Prevención de reclutamiento en NNAJ, Prevención de Trata de personas y desaparición.</t>
  </si>
  <si>
    <t>Se inició formación en cinco IEO: Celmira Bueno de Orejuela, República de Argentina, Ciudad Córdoba, Técnica Ciudadela Desepaz y Gabriela Mistral, así como en dos grupos colectivos de jóvenes.Y se formaron de las IE Jesús Villafañe Franco, Juana de Cayzedo y Cuero, El Hormiguero y Guillermo Valencia.</t>
  </si>
  <si>
    <t>Se llevó a cabo una reunión de revisión de iniciativas con el objetivo de proporcionar información sobre las condiciones para la priorización y ejecución de éstas, en el contexto del proyecto de formación en convivencia escolar y competencias ciudadanas.</t>
  </si>
  <si>
    <t xml:space="preserve">Se genero avance del documento mediante reuniones de trabajo técnicas sobre el documento de  iniciativas y estructuración de rutas de acción en relación con los tiempos de ejecución y los campos de información a solicitar a las Mesas de Cultura ciudadana. </t>
  </si>
  <si>
    <t xml:space="preserve">Iniciativas institucionales y comunitarias en cultura ciudadana y promoción de nuevas normalidades apoyadas </t>
  </si>
  <si>
    <t>Promover 8 espacios de participación  de buenas prácticas de cultura ciudadana y de construcción de paz.</t>
  </si>
  <si>
    <t>Se realizaron acompañamientos de fortalecimiento a las Mesas de Cultura Ciudadana de las Comunas 3,13,14,15 ,20 y el Hormiguero. Adicionalmente, se crearon las mesas de la comuna 9 y 19 respectivamente.</t>
  </si>
  <si>
    <t xml:space="preserve">Capacitar 500 personas  en procesos de formación pedagógica  en el cuidado de la vida y la adaptación a nuevos contextos sociales </t>
  </si>
  <si>
    <t>Se implementó la metodologia de formación en 4 IEO de la comuna 14 y 1  un grupo de jovenes de servicios amigables de la ESE Centro, impactando a 517 adolescentes y jovenes en  autocuidado, resilencia, prevención de violencias y habilidades para la vida.</t>
  </si>
  <si>
    <t>Apoyar una instancia territorial de coordinación institucional de cultura ciudadana en torno al  cuidado de la vida y la adaptación a nuevos contextos sociales</t>
  </si>
  <si>
    <t>Se han apoyado iniciativas institucionales como "El Plan Centro", el recorrido realizado en el Boulevar del Río por la policía comunitaria donde se expuso el proyecto de Guardianes de Vida y se han acompañado las distintas jornadas de la Campaña Ciudadana "Cada Cosa en su Lugar".</t>
  </si>
  <si>
    <t>Realizar 26 iniciativas ambientales y pedagogicas  en las estrategias del autocuidado  y la adaptación a nuevos contextos sociales</t>
  </si>
  <si>
    <t xml:space="preserve">Se construyo el documento "marcos de referencia" donde se establecen los criterios de selección y apoyo de las 26 iniciativas comunitarias. </t>
  </si>
  <si>
    <t>Se desarrollaron pautas metodológicas formando a jóvenes en arte gráfico urbano para promover la cultura ciudadana en Cali. Actualmente, se estan ejecutando tres pautas y tienen ocho más planeadas.</t>
  </si>
  <si>
    <t>Para el festival Graficalia, se tiene los términos de referencia con el componente técnico por parte de los artistas de Graficalia. Además, la planificacipon y el presupuesto para la implementación del festival.</t>
  </si>
  <si>
    <t>Capacitar 100 personas en  el sentido de pertenencia de los ciudadanos con la ciudad, su cultura y tradiciones.</t>
  </si>
  <si>
    <t>Se realizaron reuniones de seguimiento. En estas reuniones se dieron lineamientos sobre la convocatoria, y el desarrollo de los talleres para asi iniciar formación de los beneficiarios. Se elaboraron los terminos de referencia de la convocatoria de Identidad caleña.</t>
  </si>
  <si>
    <t>Realizar 6 iniciativas  de promoción a la participación ciudadana en reconocimiento a la cultura de la caleñidad.</t>
  </si>
  <si>
    <t>Se avanzó en los términos de
de referencia de la convocatoria. Se cuenta con las  características de la metodología de
la formación y establecieron los antecedentes, el marco normativo, la
justificación, los objetivos del proyecto, población objetiva, y rúbricas de cada taller.</t>
  </si>
  <si>
    <t xml:space="preserve"> Realizar un documento metologio en  reconocimiento de la diversidad cultural y sus expresiones</t>
  </si>
  <si>
    <t>Se completo la elaboración de documento metodológico que aborda el reconocimiento de la diversidad cultural y sus diversas expresiones. Detalla los enfoques y métodos para comprender y valorar las  manifestaciones culturales, proporcionando una guía integral para promover el respeto y la inclusión cultural.</t>
  </si>
  <si>
    <t>Generar  7 espacios de integracion  de ofertas publica  en el reconocimiento e integracion intercultural</t>
  </si>
  <si>
    <t>Se realizó reunión con la Universidad Autónoma para coordinar el acompañamiento de sus estudiantes en las iniciativas. Desarrollo de socializaciones sobre la implementación de laboratorios de cultura ciudadana con diversos grupos poblacionales.</t>
  </si>
  <si>
    <t xml:space="preserve">Al segundo trimestre del 2024, Se establecieron los principales actores que deben de ser impactados, basados en los indicadores de crecimiento empresarial de Santiago de Cali en temas asociados a la cuarta revolución industrial.
Se identificaron en reuniones y espacios de co creatividad, las principales tendencias de desarrollo digital y demandas de innovación en productos y procesos aplicados a las empresas en sus cadenas de valor y solución de retos.  </t>
  </si>
  <si>
    <t>Para el segundo trimestre del año 2024, se han continuado las actividades de seguimiento y supervisión del contrato de interventoría No. 4171.010.26.1.132-2023, incluyendo visitas semanales a la obra para verificar su avance físico. Además, se ha participado activamente en los comités de obra organizados por la interventoría y se han llevado a cabo mesas de trabajo con el equipo de supervisión, la interventoría y el constructor. Estas reuniones tuvieron como objetivo revisar los ajustes necesarios para la ejecución y correcta finalización de la obra.  Con respecto a lo anterior, se cuenta con un avance físico del 91,4%, en la construcción de la fase 1 - Edificio Centro Creativo Digital y se encuentra en etapa de acabados y puesta a punto del planetario, la sala de captura de movimiento, e instalación de los equipos de los laboratorios de innovación digital, con una ejecución presupuestal entre recursos de reserva presupuestal y recursos del presupuesto 2024 de $14.006.348.347 al contrato de obra y $1.546.536.800 a la interventoría de obra.</t>
  </si>
  <si>
    <t xml:space="preserve">Al segundo trimestre del 2024, se ha adelantado la convocatoria para promocionar y visibilizar agentes del sector de la industria musical para asistir al mercado nacional Circulart. Adicionalmente, se ha realizado acompañamiento al sector de la industria musical   en el mercado nacional Circulart 2024 </t>
  </si>
  <si>
    <t>Al segundo trimestre del 2024, se concretó una colaboración con Circulart Medellín, un mercado enfocado en fortalecer la industria musical. En el marco de esta alianza, se llevó a cabo una convocatoria para brindar acompañamiento al sector de la industria musical de la ciudad de Cali.. Gracias a esta iniciativa, se apoyó a 32 actores de la industria, quienes participaron en agenda académica, showcases y ruedas de negocio en el marco de dicho evento.</t>
  </si>
  <si>
    <t>Al segundo trimestre del 2024,el equipo de Economía Creativa ha llevado a cabo reuniones con el Parque Tecnológico San Fernando para apoyar los procesos de formación de productores audiovisuales, en línea con la estrategia de Economía Creativa 2024-2027.
De acuerdo con lo conversado con el Parque Tecnológico San Fernando y teniendo en cuenta las necesidades del sector, se ha establecido la realización de un curso técnico y creativo que aborde los siguientes temas: manejo técnico de equipos de captura de movimiento, operación de MOCAP y utilización de estudios multiusos. Adicionalmente se han asistido a eventos como el Festival Internacional de Cine de Cali, el Bogotá Audiovisual Market (BAM), el Consejo Distrital de Cinematografía y Audiovisuales, Estudios Takeshima y la Gobernación del Valle, con el objetivo de visibilizar y promocionar el sector cinematográfico y audiovisual.</t>
  </si>
  <si>
    <t>Al segundo trimestre del 2024,  se han realizado avances en cuanto a  los servicios de apoyo financiero a la producción y coproducción cinematográfica. Se  llevaron a cabo reuniones para promocionar el sector audiovisual, en este sentido, Además, se ha revisado la participación en mercados audiovisuales y se adelantaron reuniones con el Bogotá Audiovisual Market (BAM) para beneficiar a los artistas del sector cinematográfico y se han realizado reuniones para visibilizar el sector en diferentes mercados audiovisuales nacionales. Asimismo, se realizaron reuniones con el Consejo de Media Arts para articular el sector audiovisual y revisar la sostenibilidad de la denominación de Cali como Ciudad Creativa de la UNESCO en Media Arts.</t>
  </si>
  <si>
    <t>Al segundo trimestre del 2024, se continua avanzando en la construccion del plan de trabajo.</t>
  </si>
  <si>
    <t>Al segundo trimestre del  2024, Se realizó la construcción de un documento que permitió generar una hoja de ruta para los proyectos que se van a elaborar en la administración, de acuerdo con las vocaciones productivas de la ciudad de Cali.</t>
  </si>
  <si>
    <t xml:space="preserve">Al seguno trimestre del 2024, se idio nicio de la construcción de un formulario, con el fin de identificar las empresas que puedan participar en nuestro espacios de mercados y conexiones. </t>
  </si>
  <si>
    <t>Al segundo trimestre del 2024, se avanzó en la construcción del documento que contiene la estrategia de fortalecimiento a la promoción y atracción de inversión a nivel nacional e internacional de Santiago de Cali y se realizó socialización de la estrategia que abre paso o sirve de insumo para la construcción y finalización del documento técnico.
Se construyó y socializó plan de trabajo, donde se evidencian las líneas estratégicas que se desarrollarán para el posicionamiento de Santiago de Cali .</t>
  </si>
  <si>
    <t>Al segundo trimestre del 2024, no se cuenta con avance físico en la realización del documento de lineamiento técnico.</t>
  </si>
  <si>
    <t xml:space="preserve">Al segundo trimestre del 2024, se realizó una comunicación por medio de correo electrónico donde se solicitó a la persona que representa el CALI 12, un espacio para la presentación ante la Junta Administradora Local y el Comité de Planificación, el plan de trabajo que se llevará a cabo durante la ejecución del proyecto de inversión, enfatizando en las actividades a desarrollar y su cronograma, así mismo se socializará en este mismo espacio el operador encargado de su ejecución. </t>
  </si>
  <si>
    <t>Al segundo trimestre del 2024, el producto se encuentra surtiendo la etapa contractual.</t>
  </si>
  <si>
    <t>Al segundo trimestre del 2024, el proyecto se socializó ante la Junta Administradora Local de la comuna 20 y el comité de planificación, presentando el plan de trabajo que se llevará a cabo durante la ejecución del proyecto de inversión, enfatizando en las actividades a desarrollar y su cronograma, así mismo se socializará en este mismo espacio el operador encargado de su ejecución.</t>
  </si>
  <si>
    <t>Desarrollo de competencias laborales a la fuerza de trabajo con vulnerabilidad laboral para la empleabilidad en Santiago de Cali</t>
  </si>
  <si>
    <t>BP26004811</t>
  </si>
  <si>
    <t>BP2600481110101</t>
  </si>
  <si>
    <t>BP2600481110201</t>
  </si>
  <si>
    <t>BP2600481110301</t>
  </si>
  <si>
    <t>Realizar (1) estrategia  para el fortalecimiento de la política de formación para el trabajo</t>
  </si>
  <si>
    <t>Al segundo trimestre de 2024,   se avanzó en la estructuración de la metodología y plan de trabajo para la implementación de la estrategia de formación en competencias laborales, adicionalmente, se avanzó en la propuesta de la estrategia para adelantar la convocatoria y selección de la población beneficiaria.</t>
  </si>
  <si>
    <t>Al segundo trimestre de 2024,  se realizó la reunión inicial de presentación del cronograma y se encuentra a la espera de socialización con la mesa de víctimas,</t>
  </si>
  <si>
    <t>Al segundo trimestre del 2024,se avanzó en la estructuración y seguimiento a la estrategia de intervención para el fortalecimiento de la empleabilidad de la población beneficiaria.</t>
  </si>
  <si>
    <t>Al segundo trimestre del 2024,Se construyó un link que contiene preguntas técnicas que nos permitirán un mapeo del ecosistema empresarial local, este link se envió a la comuna 9 y comuna 11 para realizar la caracterización de los emprendedores de dichos sectores, esta metodología se está implementando de manera sectorial, es decir por comunas, y nos permiten seguir avanzando en la construcción del documento de lineamientos técnicos.</t>
  </si>
  <si>
    <t>Al segundo trimestre del 2024, Se avanzó en la construcción del cronograma de las siguientes ferias: feria de servicios para emprendedores de la comuna 11 y feria de Boulevar del Río. Se avanzó en la consolidación de los programas que contendrá el proyecto de fortalecimiento empresarial con enfoque diferencial y/o género de la vigencia actual. Se avanzó en la construcción de un cronograma de formaciones, pensado para fortalecer a los diferentes actores del ecosistema empresarial en las diferentes habilidades empresariales.</t>
  </si>
  <si>
    <t>25/06/2024</t>
  </si>
  <si>
    <t>Al segundo trimestre del 2024, Se dío inicio la convocatoria e inscripcion para la seleccion de los beneficiarios, a traves de link de inscripcion virtual y presencial en el CALI 10.</t>
  </si>
  <si>
    <t>30/11/2024</t>
  </si>
  <si>
    <t>Al segundo trimestre del 2024, el proyecto ya fue socializado ante la Jefe del CALI 14, en donde se presento las actividades a desarrollar del proyecto y el cronograma de las mismas.</t>
  </si>
  <si>
    <t>Al segundo trimestre del 2024, el proyecto ya fue socializado ante la Junta Administradora Local de la comuna 15 y el comité de planificación de la comuna 15, en donde se presentó las actividades a desarrollar del proyecto y el cronograma de las mismas.</t>
  </si>
  <si>
    <t>Al segundo trimestre del 2024, el proyecto ya fue socializado ante la Junta Administradora Local de la comuna 16, en donde se presentó las actividades a desarrollar del proyecto y el cronograma de las mismas.</t>
  </si>
  <si>
    <t>Al segundo trimestre del 2024, el proyecto ya fue socializado ante la Junta Administradora Local de la comuna 21, en donde se presentó las actividades a desarrollar del proyecto y el cronograma de las mismas.</t>
  </si>
  <si>
    <t>Al segundo trimestre del 2024, el proyecto ya fue socializado ante la Junta Administradora Local de la comuna 5, en donde se presentó las actividades a desarrollar del proyecto y el cronograma de las mismas.</t>
  </si>
  <si>
    <t>Al segundo trimestre del  2024, el proyecto ya fue socializado ante la Junta Administradora Local de la comuna 6 y el comité de planificación de la comuna 6, en donde se presentó las actividades a desarrollar del proyecto y el cronograma de las mismas.</t>
  </si>
  <si>
    <t>Al segundo trimestre del 2024, el proyecto ya fue socializado ante la Junta Administradora Local del CALI 7 y el comité de planificación de la comuna 7, en donde se presentó las actividades a desarrollar del proyecto y el cronograma de las mismas.</t>
  </si>
  <si>
    <t>27/06/2024</t>
  </si>
  <si>
    <t>Al segundo trimestre del 2024, Se avanzó en la identificación de las necesidades de fortalecimiento empresarial de los posibles beneficiarios de los Centros de Desarrollo Empresarial. Se consolidaron y socializaron los programas que contendrá el proyecto de fortalecimiento empresarial enfocado en los Centros de Desarrollo.</t>
  </si>
  <si>
    <t xml:space="preserve">Al segundo trimestre del año 2024, se avanzó en el seguimiento de las actividades del proyecto, se celebró una reunión con representantes de personas reincorporadas, durante la cual se abordaron y socializaron las necesidades específicas de la población y las oportunidades y servicios que ofrece la institución. Adicionalmente,  se cuenta con información relativa a personas en proceso de reincorporación, reintegración, desvinculados del conflicto armado con unidades productivas en Cali, de acuerdo con la Agencia para la Reincorporación y Normalización (ARN), entre los que se seleccionarán los beneficiarios del proyecto. </t>
  </si>
  <si>
    <t>Al segundo trimestre del 2024, se dio inicio a la estrategia de conformación de la Red de Economía Colaborativa, donde en los nodos de fortalecimiento, finanzas y comercialización se abordará el fortalecimiento de organizaciones y entidades del sector para que incrementen su productividad.</t>
  </si>
  <si>
    <t>Al segundo trimestre del 2024, Se realizó acompañamiento a diferentes unidades productivas (vendedores informales de herramientas de segunda mano ) , en el proceso de formación económica y financiera como requisito fundamental para acceder a los beneficios del Programa</t>
  </si>
  <si>
    <t>Al segundo trimestre del 2024, Se realizaron visitas de seguimiento a dos de los mercados campesinos y agroecológicos del distrito de Santiago de Cali, con el objetivo de verificar además del funcionamiento, el cumplimiento de los compromisos por parte de los mercados y dar continuidad al proceso de consolidación de las bases de datos de los integrantes de los mercados para la realización por parte del equipo de comunicaciones de un catálogo promocional de mercados campesinos. Se participó en eventos en los que se presentaron representantes de los mercados campesinos vinculados al Distrito de Santiago de Cali, para entre otros avanzar con la consolidación del proyecto y alcance de la red de mercados campesinos referida en el Acuerdo No 0519 de 2021 aprobado por el Concejo Distrital de Santiago de Cal</t>
  </si>
  <si>
    <t>Al segundo trimestre del 2024, Se llevó a cabo la continuación al seguimiento del funcionamiento de las plazas, y se hicieron reuniones con cada asociación además de visitas, para adelantar actividades relacionadas a la parte administrativa, financiera y jurídica de estas agrupaciones, con acciones enfocadas a beneficiar también a los asociados, usuarios y personal directa e indirectamente relacionado a las plazas. De las reuniones con cada una de las seis plazas del mercado: Floresta, Porvenir. Alameda, Santa Elena, Siloé y Alfonso López, se recopilaron algunos de los  datos para poder avanzar en el proceso que se debe implementar para determinar el sistema de administración, operación y promoción de las plazas de mercado propiedad del Distrito de Santiago de Cali.  Igualmente se desarrollarán acciones y actividades que se van a desarrollar en un cronograma que se va a proyectar con el fin avanzar en el óptimo funcionamiento, y operación a nivel administrativo de las plazas de mercado.</t>
  </si>
  <si>
    <t>Al segundo trimestre del 2024,Además, se inició la construcción de un programa de capacitaciones en el marco de la COP16, con el objetivo de preparar adecuadamente al ecosistema turístico de la ciudad y actores de interés, para proporcionarles las habilidades y conocimientos necesarios para contribuir de manera efectiva durante el evento. Adicionalmente, se ha trabajado en la planeación de una feria de emprendimiento, la cual se llevará a cabo durante la COP16. Esta feria tiene como objetivo destacar la innovación y el talento local, brindando una plataforma para que los emprendedores presenten sus productos y servicios a un público internacional.</t>
  </si>
  <si>
    <t>Al segundo trimestre del 2024, se dio inicio al proceso de inscripción a la convocatoria de los posibles beneficiarios del proyecto de la comuna 19</t>
  </si>
  <si>
    <t>Al segundo trimestre del 2024, Se adelantó la reunión con la subsecretaría de Cadenas de Valor y la subsecretaria de Servicios Productivos y Comercio Colaborativo, para revisión del DRIVE de Calidad, con el fin de completar la información faltante de los requisitos de la Norma Tecnica Colombiana NTC ISO 9001:2015, y adicionalmente se consolidó la información de la Matriz Productos y Servicios, vigencia 2024. Se elaboró circular ICONTEC, con el fin de garantizar el cumplimiento de la implementación de los requisitos de la norma técnica NTC ISO 9001:2015. 
Se elaboró el monitoreo mensual de los riesgos de la Secretaría de Desarrollo Económico, en el aplicativo DARUMA. Se apoyo en la articulación de la auditoria de apertura de la auditoría interna No 9. De evaluación a la Política de Gestión y Desempeño Institucional de Compras y Contratación Pública. Se apoyo en el seguimiento al Plan de Mejoramiento de la Auditoría No 11 de Evaluación al Sistema de Gestión de la Calidad</t>
  </si>
  <si>
    <t xml:space="preserve">Al segundo trimestre del 2024,  se realizaron mas de 400 dispersiones de documentos que ingresaron por la plataforma del sistema de gestión orfeo, enviados a los competentes para la realización y gestión segun correspondia. Igualmente se enviarón seguimientos de los documentos de los usuarios de las bandejas de sistema de Orfeo. Se realizo capacitación sobre la ejecucción del sistema Orfeo. Se envian para la actualización en el sistema los ejes tematicos del Organismo. Se dicto capacitaciones de operadores, se hizo participación 3ra Reunion equipo ETA de la Alcaldia de Cali. Se realiza la gestión sobre la actualización de las TRD del Organismo se envia segun solicitud de la Subdirección de Tramites, Servicios y Gestión Documental de la Alcaldia de Santiago de Cali. Se trámita acto administrativo con relación de las TRD con el Organismo y se atienda reunión con Gestión Documental sobre el tema de las mismas.  </t>
  </si>
  <si>
    <t>Al segundo trimestre del 2024,  se llevó a cabo la primera mesa técnica de construcción de la visión de desarrollo económico con el fin de presentar la estructura, establecer dimensiones a abordar y coordinar esfuerzos para desarrollar la metodología de recolección de información., se construyeron insumos relevantes sobre caracterización de vendedores informales ubicados en las zonas del centro como parte del proyecto de modernización del centro y la COP 16, además de la elaboración de informes de indicadores de mercado laboral.</t>
  </si>
  <si>
    <t xml:space="preserve">Al segundo trimestre del 2024, se presentó avance en la construcción de un insumo en el que se identifican los indicadores y metas que no han presentado ejecución con el fin de realizar mesas de articulación con corresponsables. Finalizada la consolidación de reportes, se está avanzando en su incorporación en la matriz de seguimiento con el fin de establecer el porcentaje de avance en cada indicador del plan de acción. </t>
  </si>
  <si>
    <t>Actualmente se cuenta con 3 puntos de información turística operando (centro cultural, san Antonio, casa turística) y 3 puntos itinerantes, en los que se ha brindado información turística a 1.890 turistas de enero a junio. Se han realizado 9 recorridos a visitantes desde la Secretaría de Turismo y se han realizado 9 seminarios de temas turísticos. Se realizó la contratación del operador y se realizó la 1ra de reunión presentación entre el equipo técnico y el operador con el fin de realizar las estrategias que aumenten la visibilización de la red de Puntos de información turística.</t>
  </si>
  <si>
    <t>Apoyar la dinamización de la 
economía del sector turístico 
de Santiago de Cali</t>
  </si>
  <si>
    <t xml:space="preserve">Se relaciona el avance de los productos turísticos priorizados:
Salud: Se realizó el evento de "Consolidación de la Estrategia Regional de Turismo en Salud" 
se realizó reunión con Medical tech con el objetivo de dar apoyo al evento de Turismo de salud, que se llevará a cabo del 16 al 18 de mayo, se realizó consolidación de la oferta turística de producto de salud para promocionarlos a traves de la pagina web Visit Travel. se consolidó la base de datos con los actores de la cadena de valor del producto Turistico de Salud, se llevó a cabo la segunda Sesión - Club de Producto Turismo de Salud, se asistió a la 1ra Plenaria Cluster Excelencia Clínica 2024 en la Camara de Comercio. Se realizó el evento de consolidación de la estrategia regional de Turismo de Salud, con la firma simbólica del señor Alcalde y la Gobernadora del Valle del Cauca, así como directora regional de Procolombia y Cámara de Comercio para fortalecer la estrategia regional de turismo de salud. Se realizó Alianza estratégica con la Universidad ICESI para la construcción de la narrativa de Turismo de salud de Alta complejidad. Se ha brindado apoyo al "Congreso Asocimanos" que se realizará en agosto y que visibiliza y posiciona a la ciudad como destino de eventos de turismo de Salud y mueven la economía de la cadena de valor. Se consolidó la base de datos de los actores de la cadena de valor del Turismo de salud, entre las actividades más relevantes.                                                                                   Naturaleza: Se desarrollo  el encuentro de Clubes de productos turísticos, se apoyó el encuentro de empresarios de la Red De Turismo de Naturaleza de Santiago de Cali, se creó mesa de trabajo para la Articulación, Recuperación y fortalecimiento del PNN Farallones, se constituyó la alianza entre USAID, Minciencias, Gobernación y Secretaría de  Turismo de Santiago de Cali para la organización del I Foro de Turismo regenerativo. Se diseñó, planificó y estructuró el 1er Foro de Turismo Regenerativo de Colombia que tendrá lugar el 1 y 2 de agosto de 2024. Se realizó la  priorización de rutas de turismo de naturaleza para la COP16.
Deporte:  Elaboración documento sobre Juegos Paralímpicos, instalación del club del producto, reunión con presidente de la asociación Red Colombiana de Profesores de Educación Física Recreación y Deporte (ARCOPREF) para tema de Congreso Nacional e internacional en educación física, deporte y actividad física, el cuál se realizará en Cali en el mes de octubre. Articulación con la sub secretaría de Fomento de la Secretaría del Deporte y la 
Recreación para acciones enfocadas en eventos de turismo deportivo. Se establecieron 
como prioridades Carrera Cristo Rey, Carrera del Pacífico, Mundial Femenino sub 20, 
Juegos Latinoamericanos de Bomberos y Policías, entre otros. 
Producto Turístico Cultural: Se apoyaron las 2 jornadas pedagógicas de MI CALI BELLA  con actores de la Plaza de mercado de Santa Elena y Plaza Alameda, se instaló el Club de Producto Turismo Cultural. Consolidación de una agenda cultural de Cali-región. Estructuración y actualización de bases de datos que permiten la identificación de los actores de la cadena de valor del sector cultural de Cali y sector gastronómico de Cali que permite contar con un mapeo de los restaurantes de los sectores gastronómicos de la ciudad con el fin de promocionar su oferta.
</t>
  </si>
  <si>
    <t xml:space="preserve">Fortalecimiento del potencial de los productos turísticos de Santiago de Cali </t>
  </si>
  <si>
    <t>BP26005215</t>
  </si>
  <si>
    <t>BP2600521510101</t>
  </si>
  <si>
    <t>Realizar 4 proyectos de alto impacto asistidos para el fortalecimiento de cadenas productivas</t>
  </si>
  <si>
    <t>Proyectos de alto impacto asistidos para el fortalecimiento de cadenas productivas</t>
  </si>
  <si>
    <t>Fortalecimiento de la competitividad del destino turístico de Santiago de Cali</t>
  </si>
  <si>
    <t>BP26005230</t>
  </si>
  <si>
    <t>BP2600523010101</t>
  </si>
  <si>
    <t xml:space="preserve">Elaborar 1 Documentos de planeación </t>
  </si>
  <si>
    <t xml:space="preserve">Se realizó el evento del barrio obrero donde se visibilizó la oferta turística con la participación de 250 personas. Se apoyó el seminario de información turística en articulación con Uniminuto, se han apoyado eventos como VetLatam, Feria de aves, ANATO, recorridos turísticos, se realizó con éxito durante la semana Santa el evento “Camino de la Luz”. Se actualizó y estableció el tarifario logístico para el año 2024. Se apoyó la realización de la Rueda de Negocios en la Secretaría de Turismo de Cali, se realizó la conceptualización del evento gastronómico, se realizó acompañamiento en Telemercadeo de Cotelco para la COP16, y se realiza apoyo en el montaje y desmontaje de los Puntos de Información turística itinerantes y de los eventos que requiera la Secretaría de Turismo. Se apoyó el evento de Reconocimiento al Maestro Fruko en el Barrio Obrero, también el Lanzamiento de la Campaña "Sembrando Protección" que tiene como objetivo promover la protección de nuestros niñas, niños y adolescente contra la explotación sexual infantil. Se realizó el Lanzamiento del Libro "Aves del Occidente Colombiano" por Parte de la Editorial Ensifera con el objetivo de resaltar la biodiversidad de nuestra región y promover el turismo de naturaleza y la investigación científica. Se apoyó la Media Maratón de Cali a través de la instalación de un Punto de Información Turística (PIT), Se realizó el lanzamiento de la Carrera Cristo Rey en las instalaciones de la Secretaría de Turismo.
</t>
  </si>
  <si>
    <t>Apoyo para la realización de la convención mundial de la biodiversidad en las zonas turísticas activadas en el marco de la COP 16 en Santiago de Cali.</t>
  </si>
  <si>
    <t>BP26005212</t>
  </si>
  <si>
    <t>BP2600521210101</t>
  </si>
  <si>
    <t xml:space="preserve">Realizar 1 campaña de promocion para eventos y/o ferias del sector </t>
  </si>
  <si>
    <t xml:space="preserve">Se realizó la participación en "FITUR" para promover el turismo hacia la ciudad de Cali, se llevó a cabo agenda con personalidades relevantes del turismo articulando alianzas  para dinamizar el destino turístico. Se llevó a cabo la estrategia de misión comercial con la participación de la vitrina Turística de "ANATO” la cual permitió promocionar a Cali como destino turístico y su oferta, a nivel nacional e internacional. Visitantes en stand: 753; Citas de negocios: 687. Se realiza el cubrimiento de los eventos de la Secretaría de Turismo tales como: Barrio Obrero, Semana santa, Simposio de Salud. Se elaboraron 9 boletines de prensa. Se realizó una ronda de medios de comunicación, visitando los siguientes medios:RCN RADIO CALIDAD, RCN RADIO CALI, La X F.M. y El País. Se realizó el registro fotográfico de actividades de la Secretaría, Se realizó vídeo para presentación del informe de gestión en el consejo de Gobierno de la Alcaldía de Cali. Se realizaron 39 piezas gráficas para las actividades internas y externas de la Secretaría. Se resalta el incremento de impactos y seguidores de las redes sociales de la Secretraría  Facebook: Hubo un incremento del 565,2 % en el alcance de la publicaciones en el página logrando un total de 497.964 de impacto orgánico. Instagram: Hubo un incremento del 343,3 % en el alcance del perfil , logrando un total de 732,631 de impacto orgánico. Se ejecutó la primera rueda de negocios de prestadores de servicios turisticos locales, realizada el 25 de abril de 2024,en la cual se concretaron 438 citas de negocios, dejando 298 oportunidades de negocios y $215.013.455 como valor estimado en pesos colombianos de oportunidades de negocios. Se realizó el informe de participación en la macrorrueda de negocios "Colombia Travel Mart 2024", en la cual se sostuvieron citas de negocios con diferentes compradores internacionales interesados en la oferta turística de Santiago de Cali. Se realizó la articulación con el Ministerio de Turismo de Perú para presentar el proceso que llevó a cabo la ciudad de Cali para convertirse en un Destino Turístico Inteligente Adherido, mostrando así su evaluación y los puntos de trabajo que se deben mejorar para asegurar su desarrollo. Se realizó la estructuración del proyecto "Plan de Promoción Nacional Cali". Se continuna fortaleciendo  las redes sociales de la Secretaría, se realiza cubrimiento fotográfico y periodistico de todas las actividades, se han promocionado  los productos turísticos priorizados, como el turismo cultural, de naturaleza, de salud y 
deportivo, logrando así una mayor visibilidad y reconocimientoa fin de posicionar a Santiago de Cali como un destino turístico diverso y atractivo.                                                                                   </t>
  </si>
  <si>
    <t xml:space="preserve">Se ha realizado el apoyo al programa de capacitación y fortalecimiento de proveedores y prestadores de servicios turísticos con el objetivo mejorar la competitividad de los mismos. Se han diseñado e implementado estrategias para el fortalecimiento de la competitividad de los prestadores de Servicios turísticos. Se articuló convocatoria para curso de formación en bilingüismo de prestadores de servicios turísticos, con cupo de 60 personas, curso con enfoque de turismo de naturaleza y con énfasis en el sector comercial. Se apoya el fortalecimiento de proveedores y prestadores de servicios turísticos. Se ha brindado asistencia técnica a 46 microempresarios en formalización y RNT de enero a junio. Se adjudico el contrato al operador y éste presentó la estructura a desarrollar con el propósito de implementar un programa de formación integral que fomente a los emprendimientos del sector turístico y realizar un programa de capacitación para el fortalecimiento de los proveedores y prestadores de servicios turisticos de Santiago de Cali.. 
</t>
  </si>
  <si>
    <t xml:space="preserve">Se realizó actualización de información al monitoreo cuantitativo y cualitativo permanente sobre la oferta y la demanda de los principales indicadores de turismo de Cali, del año 2023 y ene_feb_mar_abril-mayo de 2024, con su respectivo análisis de comportamiento con los mismos periodos anteriores. Se apoyó  la realización del análisis de la encuesta diagnóstica y exploratoria de rutas turísticas de Cali. </t>
  </si>
  <si>
    <t xml:space="preserve">
Se avanzó en el 10% del documento de Lineamientos técnicos de acuerdo a la ponderación del producto. Documento con: actividades de visitas técnicas y diagnósticos a las (5) sedes </t>
  </si>
  <si>
    <t xml:space="preserve">
Se avanzó en el  10% del documento de Lineamientos técnicos de acuerdo a la ponderación del producto.Documento relacionado con: visitas de diagnóstico a 8 CALIS e inicio del ajuste al presupuesto y rubros a intervenir teniendo en cuenta el diagnóstico  y proceso de armonización.</t>
  </si>
  <si>
    <t xml:space="preserve">
Se realizó el documento de planeación, el cual constituye una propuesta de elaboración del índice de priorización para la estrategia de Territorios de Inclusión y de Oportunidades 2024, donde se determinaron los barrios con mayor índice de pobreza multidimensional, y tasa de homicidios. Este ejercicio se complementó con la identificación de potencialidades sociales, culturales, servicios y el equipamiento urbano, y con la exploración de dinámicas de los territorios surgidas a partir de eventos como la pandemia del covid-19 y el estallido social.</t>
  </si>
  <si>
    <t xml:space="preserve">
Se avanzó en el 12% del documento metodologico realizado, el cual cuenta con una estructura de 11 capítulos como se detalla a continuación: Introducción, contexto de la Subsecretaría de TIO, estructura organizativa de TIO, proceso de intervención comunitaria, funciones y procedimientos por equipo, planes y proyectos específicos, articulación interinstitucional, capacitación y desarrollo de capacidades del equipo TIO, monitoreo y evaluación, referencia y anexos.  </t>
  </si>
  <si>
    <t>Se promovieron cinco (5) espacios de participación ciudadana:1. Proceso psicosical con mujeres migrantes del corregimiento de Montebello 
2. ⁠jornadas de desarrollo humano con madres comunitarias del barrio Polvorines 
3. ⁠reunión de alistamiento sobre proceso de formación a mujeres de la comuna 14
4. ⁠Encuentro con grupo de adultos mayores barrio las Orquídeas
5. ⁠Mesa Intersectoral en el barrio Mojica</t>
  </si>
  <si>
    <t>Se generaron cuatro (4) espacio de integración de la oferta pública: 1. Reconocer fest 
2. ⁠Visita técnica en la Virgen de Yanaconas
3. ⁠Acompañamiento en la feria Más empleo Cali en el barrio polvorines (comuna 18)
4. ⁠Acompañamiento en la feria Más empleo Cali en la comuna 13</t>
  </si>
  <si>
    <t xml:space="preserve">
Se avanzó en el 42,5% del documento de Planeación, mediante asistencia técnica en la documentación para pagos a proveedores, ejecución del presupuesto conforme a Planeación y se gestionó el Plan Anualizado de Caja. Se completó el pago a Ediles y se realizaron auditorías para mantener la certificación ISO 9001:2015. </t>
  </si>
  <si>
    <t xml:space="preserve">Se avanzó en el 42,5%  de la entidad tecnicamente asistida, a tráves del seguimiento a políticas operativas y puntos de control, asegurando alineación con objetivos estratégicos. Monitoreo del mapa de riesgos y análisis de salidas no conformes para mejorar procesos y seguimiento de indicadores clave
</t>
  </si>
  <si>
    <t xml:space="preserve">Se atendieron  227.783 usuarios en los puntos:Oficina de Atención al Ciudadano, portal web, correo electrónico y la línea telefónica, brindando atención de calidad según lo establece el proceso de atención al usuario, lo que corresponde al 35% de avance fisico del sistema de informacion actualizado
</t>
  </si>
  <si>
    <t xml:space="preserve">Se encuentra en proceso contractual la adquisición de equipos para dotar las oficinas de atención y orientación ciudadana. </t>
  </si>
  <si>
    <t xml:space="preserve">Se promovieron 23 espacios de participación  con los actores del sistema: 10 en planeación participativa formulación de PDCC pasos 3,4,5 y 6;  5 en espacios participativos: Tu voz cuenta, solic. x comunidad y feria de servicio, 7 en control social: alistamiento, mesas de trabajo y encuentros de aprendizaje; 1 en acompañamiento a ediles
</t>
  </si>
  <si>
    <t>Se avanzó en el 12,5% de acuerdo a la ponderación del producto,  actividades de planificación, donde se emitieron lineamientos, se realizaron 2 jornadas de capacitación a organismos y 1 jornada de orientación, dudas e inquietudes a organismos, , recopilación para el Plan Distrital de Participación. Plan de mejoramiento a 4 organismos. Se realizó el primer y segundo Comite Interinstitucional.</t>
  </si>
  <si>
    <t>Avance del 12.5% del documento de investigación con la incorporación de la identificación de los actores, y la incoporación de la participación del grupo poblacional juventud,  la incorporación de marco teórico conceptual,mapeo de actores,  definición y aportes teóricos para análisis del problema.</t>
  </si>
  <si>
    <t xml:space="preserve">Se promovieron espacios de participación mediante la atención a 290 organismos comunales, para el  cumplimiento de la norma comunal. </t>
  </si>
  <si>
    <t>Se capacitaron a 1.975 personas mediante soporte técnico pertenecientes a juntas de acción comunal, especialmente en lo relacionado a reforma estatutaria, capacitación en Ley 2166 de 2021 y para la expedición del RUC- Registro Unico Comunal.</t>
  </si>
  <si>
    <t>Se capacitaron 266 personas  a través de (2) jornadas de capacitación en Ley 133 de 1994, lo cual dio inicio a la estrategia de fomento</t>
  </si>
  <si>
    <t>Conservación de los bienes inmuebles de interes cultural de uso institucional de Santiago de Cali</t>
  </si>
  <si>
    <t>BP26004117</t>
  </si>
  <si>
    <t>BP2600411710201</t>
  </si>
  <si>
    <t>Realizar adecuaciones en la infraestructura fisica del edificio coltabaco propiedad de la Alcaldía de Santiago de Cali</t>
  </si>
  <si>
    <t>Construcción de obras de adecuación para la ampliación de bien inmueble propiedad de Santiago de  Cali</t>
  </si>
  <si>
    <t>BP26004339</t>
  </si>
  <si>
    <t>BP2600433910101</t>
  </si>
  <si>
    <t>Edificaciones de propiedad del Distrito, mantenidas</t>
  </si>
  <si>
    <t>Realizar la construcción de obras de adecuación en la estructura física de bien inmueble de uso institucional propiedad de la Alcaldía de Santiago de Cali ubicado en el barrio el Lido</t>
  </si>
  <si>
    <t>Se continua con el esmaltado de pisos en concreto, reposición de pisos en baldosa de cemento, pintura sobre maderas en cielo raso. cielo en madera machimbre, suministro e instalación de barandas, instalacion de tomas corrientes.</t>
  </si>
  <si>
    <t>Al corte de 30 de Junio  se adelantan todas las actividades preliminares del proyecto para la ejecución y cumplimiento de la meta avanzando para este periodo en la instalación de 1.067 puntos luminosos correspondientes al plan de gestión de junio de 2024, equivalentes a 32.010 metros de redes de alumbrado público mejoradas a través de los proyectos de modernización, para un avance de 98.670 metros de redes de alumbrado público mejoradas y un total de 3.289 puntos luminosos</t>
  </si>
  <si>
    <t>Al corte del 30 de Junio, se apoyó en cada una de las actividades correspondientes  a la supervision administrativa, en el alcance al apoyo administrativo para el Alumbrado Público, en el cual desarrolla las actividades de supervisión al Convenio Interadministrativo suscrito entre el Distrito de Santiago de Cali y las Empresas Municipales de Cali - EMCALI EICE ESP, para la prestación del Servicio de Alumbrado Público, con el fin de asegurar su correcta ejecución y cumplimiento de los términos establecidos en las normas vigentes sobre y en las cláusulas estipuladas en el Convenio. Así mismo, se han elaborado 3 documentos de lineamientos técnicos de  la renovación del Alumbrado Público.</t>
  </si>
  <si>
    <t>Con corte a  Junio  2024, está en ejecución del documento metodologico el cual comtempla la elaboración, segumiento y control de la guía luminica para modernización de luminarias en el distrito.</t>
  </si>
  <si>
    <t>Con corte al Mes de Junio  2024, se han elbaorado 3 documentos de lineamientos técnicos.  Así mismo, se realizaron ajustes a la planificación integral en  cada una de las actividadades   en la parte tecnica, financiera, administrativa y juridica.</t>
  </si>
  <si>
    <t>BP26005201</t>
  </si>
  <si>
    <t>Implementación del Alumbrado Navideño en el Distrito Santiago de Cali</t>
  </si>
  <si>
    <t>BP2600520110101</t>
  </si>
  <si>
    <t>Espectáculos anuales visuales y luminosos de Alumbrado navideño realizados</t>
  </si>
  <si>
    <t>Realizar un espectáculo visual y luminoso de gran impacto y cobertura durante la época decembrina.</t>
  </si>
  <si>
    <t xml:space="preserve">Con corte al mes de Junio, se inició la ejecución del contrato No. 4182.010.32.1.230-2024, del cual se tendrá una primera entrega del desarrollo grafico final de las zonas del alumbrado navideño 2024. Se están realizando las actividades preliminares para iniciar con el proceso de construcción del alumbrado y show tecnológico navideño, el cual es el punto de partida para el espectáculo visual y luminoso. Mediante resolución No.4182.010.21.0.074 se llevará el pago del mes de diciembre del alumbrado navideño 2023 </t>
  </si>
  <si>
    <t>Con corte al mes de Junio, se han realiado actividades tales como:  A) Realizar la implementación del Nodo IDESC de información de acueducto del área rural vereda Cascajal - Corregimiento El Hormiguero. B) Realizar la implementación del Nodo IDESC de información de acueducto del área rural sector Flamenco de la vereda Cascajal - Corregimiento El Hormiguero. C) Realizar la implementación del Nodo IDESC de información de acueductos del área rural vereda La Vorágine - corregimiento Pance. D) Realizar la implementación del Nodo IDESC de información de acueducto del área rural vereda La Buitrera - Corregimiento La Buitrera
En lo relativo a las anteriores actividades se formalizó mediante el contrato No. 4182.010.26.1.455-2024.  Adicionalmente, el Departamento Administrativo de Planeación -DAP aprobó la modificación solicitada sobre la actividad” Realizar Estudio de factibilidad técnica para la construcción de La Cadica (La Elvira) - Sistema de Acueducto Campoalegre, corregimiento Montebello” la actividad, por lo cual se solicitó el retiro del presupuesto asignado a esta actividad y su traslado a la actividad 1.1.8 "Realizar Estudio de factibilidad técnica asociado a la mitigación de riesgos para la construcción de línea de conducción de agua desde La CADICA La Elvira hasta la PTAP Campoalegre, corregimiento de Montebello"</t>
  </si>
  <si>
    <t xml:space="preserve">Con corte a Junio no se cuenta con un avance físico, dado que está en proceso de elaboración de documentación precontractual para: A)  Realizar la construcción del sistema de conducción Red de Acueducto vereda Cascajal Fase II, corregimiento El Hormiguero, B) Realizar la construcción del sistema de acueducto El Faro, Corregimiento Los Andes, C) Realizar la Construcción de la PTAP sector El Peón, Corregimiento Pance, D) Realizar la Construcción de la Red de Acueducto sector El Peón, Corregimiento de Pance, E) Realizar construcción tanque de abastecimiento Piamonte, corregimiento Montebello.
</t>
  </si>
  <si>
    <t xml:space="preserve">462.205
</t>
  </si>
  <si>
    <t>Con corte a Junio,  y con el objetivo de dar cumplimiento a lo establecido en el convenio interadministrativo realizados con EMCALI ESP y EMSIRVA en Liquidación, para el cubrimiento de déficit por subsidios otorgados en los estratos 1, 2 y 3 en la prestación del servicio de acueducto, alcantarillado y aseo, y a la metodología de verificación y aceptación de las cuentas de cobro presentadas a Santiago de Cali por la empresa prestadora de servicios públicos de aseo AC, se analizaron los siguientes aspectos: 1.    Conceder subsidios únicamente a los usuarios de menores ingresos correspondientes a los estratos 1, 2 y 3, según la estratificación adoptada por la entidad territorial, 2.   Recaudar los aportes solidarios por parte de los estratos residencial 5 y 6 y los predios clasificados como de uso comercial e industrial, 3.   Aplicar los factores en subsidios y contribuciones, de conformidad con lo establecido en el artículo 89 de la Ley 142 de 1994, el artículo 2.3.4.1.2.11 del Decreto 1077 de 2015 y en el Acuerdo Municipal 0576 de 2024, “Por medio del cual se establecen los factores de subsidios para los estratos 1, 2 y 3 y los factores de aportes solidarios para los servicios públicos domiciliarios de acueducto, alcantarillado y aseo en Santiago de Cali para las vigencias 2024”. En este acuerdo se definió en su artículo 1º, los factores de subsidios y aportes solidarios por estrato en la prestación entre otros, de los servicios públicos domiciliarios de acueducto, alcantarillado y aseo, a aplicarse en todas las Empresas prestadoras de estos servicios que operan en el Santiago de Cali.</t>
  </si>
  <si>
    <t>31/1272024</t>
  </si>
  <si>
    <t>Con corte a Junio, y con el objetivo de dar cumplimiento a lo establecido en el contrato interadministrativo 4132.0.26.5.004 con objeto “Establecer entre las partes la prestación del servicio correspondiente al programa mínimo vital de agua potable de 6 metros cúbicos por suscriptor mes para el uso residencial de los estratos 1 y 2 del Distrito de Santiago de Cali, prestado por EMCALI EICE ESP”, se presenta informe de supervisión a la cuenta presentada por EMCALI EICE y que corresponde a los recursos invertidos en el pago de 6 m3 de agua potable para la población beneficiaria del programa Mínimo Vital de agua Potable, en la cual se verifica: A) Que el beneficio sea entregado únicamente a la población objetivo (estratos residenciales 1 y 2 y los hogares de bienestar familiar e inquilinatos. B)  Que solo se aplica el beneficio a máximo 6 m3 por usuario/mes, C) Que se da cobertura a la población que cumple con los requisitos para acceder al beneficio, D) Se realizó el cruce de la información entregada por EMCALI EICE ESP con la información oficial del Departamento Administrativo de Planeación Municipal, encontrando que la cantidad de usuarios reportados para los estratos 1 y 2 es consecuente con la estratificación registrada por el Departamento Administrativo de Planeación; por lo tanto, existe coherencia entre las dos fuentes de información. 
Además, se realizó la verificación de los consumos y de la cantidad de metros cúbicos subsidiados y se encontró un promedio de 5,56m3/usuario/mes</t>
  </si>
  <si>
    <t>Con corte a Junio, no se cuenta con avance fisico debido a que mediante resolución No.4182.010.21.0.074 se llevará el pago de los meses de enero, febrero, marzo, abril y mayo de la iluminación ornamental. Por otro lado se están realizando acciones preliminares, (Estudios previos), para iniciar el proceso de selección en el mes de agosto para la consultoría del diseño de los hitos ornamentales. Se están realizando acciones preliminares, (Estudios previos), para iniciar el proceso de selección en el mes de julio con la licitación del servicio de mantenimiento. Así mismo, se realizó la evaluación técnica de los proponentes de la Licitación Publica bajo el proceso No. 4182.010.32.1.242-2024. Se cuenta con el apoyo a la supervisión y seguimiento de los procesos de alumbrado ornamental. Y Se están realizando acciones preliminares, (Estudios previos), para iniciar el proceso de selección en el mes de julio con la consultoría de la interventoría del servicio de mantenimiento.</t>
  </si>
  <si>
    <t>Con corte a Junio, se ha realizado: A) Actualización de  la base de datos de los sectores grandes generadores de residuos sólidos orgánicos, B) Asistencia y apoyo  técnico  en el aprovechamiento de residuos sólidos a grandes generadores y comunidad, C) Apoyó al  proceso de aprovechamiento de los residuos en las plazas de mercado, D) Ejecución de  la estrategia de aprovechamiento de residuos sólidos orgánicos en el área rural de Cali, E) Seguimiento y evaluación a la estrategia de aprovechamiento de residuos sólidos orgánicos en el área rural de Cali. Las actividades ejecutadas a la fecha representan un cumplimiento del 43% del plan de trabajo del proceso.</t>
  </si>
  <si>
    <t>Con corte a Junio,  se han realizado: A)  Mesas de trabajo institucionales, B) Recoleccion y Sistematización de la  infomacion concerniente a las organizaciones, C) Asistencia técnica integral a las organizaciones,  D) Caracterizazción de las organiazciones,  E) seguimiento a los avances en el cumplimiento del decreto 0507 de 2017. Todo lo anterior  en pro de cumplimiento de la Politica Publica de Inclusion de Recicladores de Oficio a la Economia Formal de Aseo, el decreto 596 de 2016, y la sentencia T-291</t>
  </si>
  <si>
    <t xml:space="preserve">Con corte a Junio,  se realizó la implementación de los barrios con potencial para rutas selectivas, de acuerdo con la identificación de operación de recicladores de oficio. Así mismo, la Unidad Administrativa Especial de Servicios Públicos cuenta con una plataforma que permite recibir el reporte del cumplimiento del SGIRS por parte de los grandes generadores, quienes deben suministrar información con frecuencia semestral, con corte a 30 de Junio (reporte de enero a junio) y con corte a 30 de enero (reporte de julio a diciembre). Para el reporte del mes de enero de 2024 se recibieron 1.335 reportes del periodo julio a diciembre de 2023. 
Se realizarón  visitas técnicas a los grandes generadores de residuos sólidos para la correcta implementación del SGIRS. Esto se hace mediante visitas en las cuales se realiza un diagnóstico del cumplimiento frente a los lineamientos establecidos en los manuales, generando oportunidades de mejora. </t>
  </si>
  <si>
    <t>Incrementar el acceso al servicio de aseo en la actividad de aprovechamiento</t>
  </si>
  <si>
    <t>Con corte a Junio,  se garantizó la operación de la Estación de Transferencia de la carrera 50, se recibió un promedio 450 m3/día de Residuos de Construcción y Demolición -RCD con Autopista Simón Bolívar. Así mimso, se continuó con la ejecución del Contrato Interadministrativo No. 4182.010.26.1.100-2024 celebrado entre la UAESP y CANDEASEO E.S.P., se evacuaron 13.104,01 toneladas de RCD.</t>
  </si>
  <si>
    <t>Con corte a Junio, se continuó el proceso de traslado de la Planta Piloto ubicada en ACOPI YUMBO a la Estación de Transferencia de la carrera 50, en el marco de la ejecución del Convenio Interadministrativo No.00009. En el marco de la construcción e implementación del Esquema de Aprovechamiento de RCD, se adelantó jornada de actualización de Base de datos de Chaneros a incluir en el Esquema, capacitación en el manejo adecuado de los RCD y Protocolo de operación de la Estación de Transferencia de la carrera 50.
En el marco de la construcción e implementación del Esquema de Aprovechamiento de RCD, se adelantó el proceso comparativo de las bases de datos con Secretaria de Movilidad y la Secretaria de Desarrollo Económico para confirmar si realmente los documentos presentados, corresponden a los beneficiarios del Proyecto de Sustitución Animal que ingresan actualmente a la Estación de Transferencia -EDT de la carrera 50 con Simón Bolívar.
Se llevo a cabo Mesa de Trabajo con CAMACOL y las CONSTRUTORAS para identificar la ruta de Implementación del Esquema de Aprovechamiento de los RCD en la ciudad. (Resolución 1257 de 2021).</t>
  </si>
  <si>
    <t>Con corte a Junio, se ha realizado seguimiento a los componentes de la prestación del servicio público de aseo en todos sus componentes y a los puntos críticos y de arrojo clandestino presentes en el Distrito de Santiago de Cali beneficiando al 100% de la población objetivo del proyecto que corresponde a 2.283.846 personas. Se ha realizado seguimiento a los componentes de la prestación del servicio público de aseo para el cumplimiento con calidad, cobertura y continuidad a los siguientes componentes: A. Recolección, Transporte y Transferencia de Residuos Sólidos, B. Barrido y Limpieza de Vías y Áreas Públicas, C.  Corte de Césped, D. Poda de árboles en vías y áreas públicas en área urbano, E. Lavado de áreas Públicas. Lo anterior mediante visitas continuas de seguimiento en las 22 comunas y corregimientos del Distrito.  Así  mismo, se realizado seguimiento a 14 puntos críticos de la ciudad y a 119 puntos de arrojo clandestino existentes.  Se logró ejecutar la recolección, transporte y disposición final de residuos sólidos por arrojo clandestino en puntos críticos de Santiago de Cali, mediante el contrato No. 4182.010.26.1.229-2024, cuyo objeto es "Efectuar la recolección, transporte y disposición final de residuos sólidos de origen clandestino dispuestos en áreas públicas y puntos críticos, con el propósito de contribuir a la recuperación de espacios públicos de la Ciudad de Santiago de Cali". A la fecha se han intervenido todos los sitios gestionando 6502 m3 de residuos.
Se adelanta la revisión de la situación actual, legal y financiera de la empresa EMSIRVA ESP en Liquidación, mediante el contrato de servicios profesionales 4182.010.26.1.224-2024, cuyo objeto es prestar servicios profesionales para el acompañamiento y la orientación en materia jurídica especializada a la Unidad Administrativa Especial de Servicios Públicos.</t>
  </si>
  <si>
    <t>BP26005213</t>
  </si>
  <si>
    <t>Fortalecimiento a la gestión adecuada de residuos sólidos y al servicio público de aseo en santiago de cali.</t>
  </si>
  <si>
    <t>BPBP2600521310101</t>
  </si>
  <si>
    <t>Proyectos de acueducto, alcantarillado y aseo apoyados financieramente</t>
  </si>
  <si>
    <t xml:space="preserve">Con corte a Junio, se adelantó el proceso precontractual mediante proceso No. 4182.010.32.1.476-2024, “Fortalecimiento a la gestión adecuada de residuos sólidos y al Servicio Público de Aseo en Santiago de Cali”. Posteriormente se adjudicó y se dio inicio al contrato No. 4182.010.26.1.452-2024, A la fecha se han realizado las actividades previas de articulación entre el contratista y la Unidad Administrativa Especial de Servicios Públicos, para recuperar la gobernanza a través de la atención integral de los espacios públicos. Se han realizado reuniones de socialización y capacitación tanto por parte de la Unidad como por parte del contratista, dirigidos a los promotores y diversos actores estratégicos. </t>
  </si>
  <si>
    <t>Con corte a Junio, no se tiene avance fisico debido a que La relación porcentual de cantidad de m3 tratado corresponde 0% para la operación y mantenimiento de la PTL dado que se encuentra en su etapa inicial el proyecto. Así mismo, el proyecto  se encuentra en revisión jurídica a la espera del acto administrativo de delegación.</t>
  </si>
  <si>
    <t>Con corte a Junio, no se tiene avance fisico debido a que  se han remitido los documentos al grupo de contratación para su revisión y ajustes.. Es de anotar, que el proceso precontractual está proyectado iniciar en el mes de Juliio  y para el mes de Agosto realizar los trabajos del monitoreo de calidad del aire en el Antiguo Vertedero de Navarro - AVN.</t>
  </si>
  <si>
    <t>Con corte al mes de Junio, se llevaron a cabo  30 jornadas de información, comunicación y educación destinadas a sensibilizar sobre la prestación de los servicios públicos, el manejo adecuado de residuos sólidos en comunas y corregimientos, logrando impactar a 7.597 habitantes del Distrito de Santiago de Cali, acumulando un total a la fecha de 14.184 personas sensibilizadas. Adicional en el marco de la implementación de la estrategia de Información, Educación y Comunicación (IEC) sombrilla de la Alcaldía ´Volvamos a mi Cali Bella', se realizaron diferentes productos audiovisuales e informativos logrando un alcance de 12.815 personas impactadas, consolidando un alcance acumulado hasta la fecha de 62.638, con videos, reel´s, boletines difundidos a través de redes sociales en colaboración con la Alcaldía de Cali y diferentes organismos de la Administración Distrital. En conjunto, estos esfuerzos representan un avance hacia la meta establecida, alcanzando un total de 76.822 personas sensibilizadas.</t>
  </si>
  <si>
    <t>Con corte a Junio, la metano se tiene avance fisico, debido a se esta en el  proceso de armonización de las metas del plan de desarrollo. Sin embargo, se desarrollaron actividades como: A)  Realización de  la implementación del Nodo IDESC de información de alcantarillado del área rural vereda La Leonera Cabecera - Corregimiento La Leonera. B) Realización de  la implementación del Nodo IDESC de información de alcantarillado del área rural vereda La Vorágine - Corregimiento de Pance. Lo anterior se formalizo mediante el contrato No. No. 4182.010.26.1.453-2024 con la empresa Geosoluciones DAJ S.A.S. En cuanto a la actividad Realizar Interventoría a los Estudios y/o Diseños de Alcantarillados en la zona rural de Cali. Adicionalmente durante este periodo se incorporó una nueva actividad al proyecto: Realizar el PSMV (Plan de Saneamiento y Manejo de Vertimientos) del corregimiento de Pance Para la cual el DAP aprobó viabilidad para esta actividad bajo radicado No. 202441320500004744.</t>
  </si>
  <si>
    <t>Con corte al mes de Junio, no se presenta vance fisico debido a que actualmente el proyecto se encuentra en Fase Contractual, se  publicaron todos los procesos en la plataforma Secop II de las actividades: A) Realizar Obras de Mejoramiento PTARD y Red de Alcantarillado vereda el Pajui Fase III - corregimiento La Leonera, B) Realizar el mejoramiento y la optimización de la PTARD Pueblo Nuevo, corregimiento La Buitrera, C) Realizar el mejoramiento y la optimización de la PTARD El Plan, corregimiento La Buitrera, D) Realizar interventoría a las obras de mejoramiento de Alcantarillado y PTARD en la zona rural de Santiago de Cali.  Por otro lado,  se continuó el fortalecimiento administrativo y operativo de las JAAA de la zona rural del Distrito de Santiago de Cali.</t>
  </si>
  <si>
    <t xml:space="preserve">35%
</t>
  </si>
  <si>
    <t>Con corte a Junio, se realizo seguimiento a los avances de las  acciones y metas establecidas en  los Planes de Mejoramiento producto de las Auditorías de SGC-2023  Realizadas por la Subdirección de Gestión Organizacional-SGO- DADII y auditoría de Calidad a las lineas Certificadas de la UAESP VIGENCIA 2023, practicada por ICONTEC</t>
  </si>
  <si>
    <t xml:space="preserve">Con corte a Junio,  se elaboro  y socializo  a los Equipos de trabajo de la UAESP, las líneas de servicios certificadas dentro del organismo. Se realizó reunión con los equipos de trabajo de la UAESP, involucrados en las acciones  de mejora, evaluadas como no efectivas por el Departamento Administrativo de control Interno,con el objeto de fortalecer la acción para futuras visitas del DACI O Contraloria Municipal.  </t>
  </si>
  <si>
    <t>53010030011</t>
  </si>
  <si>
    <t>NA</t>
  </si>
  <si>
    <t xml:space="preserve">Se adelantó la contratación del servicio de vigilancia y aseo como parte integral de mantenimiento de la infraestructura del CBA; En el mes de junio se inició el proceso de licitación para mantenimiento de aires acondicionados, ascensores y adquisición de equipos veterinarios. </t>
  </si>
  <si>
    <t xml:space="preserve">Atender 5.000 animales  con servicios veterinarios en el coso municipal 
</t>
  </si>
  <si>
    <t>Al 30 de junio de 2024 se han atendido 2.447 animales, de los cuales 1.426 fueron por urgencias y citas priorizadas, 408 citas de servicio veterinario y 613 entre hospitalizaciones, atención de entregas voluntarias, casos de albergue y casos de policía ambiental.</t>
  </si>
  <si>
    <t xml:space="preserve">Atender 304 Servicios de atención integral a la fauna
</t>
  </si>
  <si>
    <t>Al 30 de junio de 2024 se atendieron 56 animales con casos de presunto maltrato y mala tenencia, con sus respectivas audiencias y procesos judiciales. Se han dado en adopción 187 animales de manera responsable, para un total de 243 animales atendidos entre estas dos acciones.</t>
  </si>
  <si>
    <t>Al 30 de junio de 2024 se han capacitado a 750 personas en temas de bienestar y protección animal, respeto animal, cuidado responsable, primeros auxilios y funcionamiento del CBA, , entre otros.</t>
  </si>
  <si>
    <t>1,094,649,843,906</t>
  </si>
  <si>
    <t>1,186,238,296,800</t>
  </si>
  <si>
    <t>706,185,103,026</t>
  </si>
  <si>
    <t>456,461,872,659</t>
  </si>
  <si>
    <t>Total general</t>
  </si>
  <si>
    <r>
      <rPr>
        <sz val="9"/>
        <color theme="1"/>
        <rFont val="Arial Narrow"/>
      </rPr>
      <t xml:space="preserve">Programa de atención integral a la malnutrición en </t>
    </r>
    <r>
      <rPr>
        <sz val="9"/>
        <color rgb="FF000000"/>
        <rFont val="Arial Narrow"/>
      </rPr>
      <t>instituciones implementado</t>
    </r>
  </si>
  <si>
    <t>Durante el periodo comprendido hasta el mes de junio no se han realizado avances, toda vez que, el proceso se encuentra en fase de estructuración del contrato. Se proyecta poder ejecutar la planificación del proyecto y lo establecido en el PAA. Por su parte, se cuenta con avances en la interventoría de la intervención sobre Vuelta Occidente en su fase 1.</t>
  </si>
  <si>
    <t>BP26005204</t>
  </si>
  <si>
    <t>Mejoramiento Integral Del  Servicio De Alumbrado Público En Santiago De Cali</t>
  </si>
  <si>
    <t>BP2600520410101</t>
  </si>
  <si>
    <t>Servicio de alumbrado público inteligente implementado y operando</t>
  </si>
  <si>
    <t xml:space="preserve">Mejorar 1.818.900 metros de redes de alumbrado </t>
  </si>
  <si>
    <t>Con corte al mes de Junio, se inició el proceso de licitación contractual , el cual esta en proceso de adjudicación para su posterior ejecución de actividades.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</si>
</sst>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5">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 #,##0\ _€_-;\-* #,##0\ _€_-;_-* &quot;-&quot;\ _€_-;_-@_-"/>
    <numFmt numFmtId="165" formatCode="_-* #,##0.00\ _€_-;\-* #,##0.00\ _€_-;_-* &quot;-&quot;??\ _€_-;_-@_-"/>
    <numFmt numFmtId="166" formatCode="_(&quot;$&quot;* #,##0_);_(&quot;$&quot;* \(#,##0\);_(&quot;$&quot;* &quot;-&quot;_);_(@_)"/>
    <numFmt numFmtId="167" formatCode="_(* #,##0_);_(* \(#,##0\);_(* &quot;-&quot;_);_(@_)"/>
    <numFmt numFmtId="168" formatCode="_(* #,##0.00_);_(* \(#,##0.00\);_(* &quot;-&quot;??_);_(@_)"/>
    <numFmt numFmtId="169" formatCode="_(&quot;$&quot;\ * #,##0.00_);_(&quot;$&quot;\ * \(#,##0.00\);_(&quot;$&quot;\ * &quot;-&quot;??_);_(@_)"/>
    <numFmt numFmtId="170" formatCode="_([$€]* #,##0.00_);_([$€]* \(#,##0.00\);_([$€]* &quot;-&quot;??_);_(@_)"/>
    <numFmt numFmtId="171" formatCode="_ [$€-2]\ * #,##0.00_ ;_ [$€-2]\ * \-#,##0.00_ ;_ [$€-2]\ * &quot;-&quot;??_ "/>
    <numFmt numFmtId="172" formatCode="0.0%"/>
    <numFmt numFmtId="173" formatCode="[$-240A]dddd\,\ dd&quot; de &quot;mmmm&quot; de &quot;yyyy"/>
    <numFmt numFmtId="174" formatCode="0.0000"/>
    <numFmt numFmtId="175" formatCode="0.000"/>
    <numFmt numFmtId="176" formatCode="[$-C0A]General"/>
    <numFmt numFmtId="177" formatCode="d/m/yyyy"/>
    <numFmt numFmtId="178" formatCode="_(&quot;$&quot;\ * #,##0_);_(&quot;$&quot;\ * \(#,##0\);_(&quot;$&quot;\ * &quot;-&quot;_);_(@_)"/>
    <numFmt numFmtId="179" formatCode="0.00;[Red]0.00"/>
    <numFmt numFmtId="180" formatCode="#,##0.000"/>
    <numFmt numFmtId="181" formatCode="0.0000%"/>
    <numFmt numFmtId="182" formatCode="#,##0.00000"/>
    <numFmt numFmtId="183" formatCode="0.000%"/>
    <numFmt numFmtId="184" formatCode="dd/mm/yyyy"/>
    <numFmt numFmtId="185" formatCode="0.0"/>
    <numFmt numFmtId="186" formatCode="0.00000%"/>
    <numFmt numFmtId="187" formatCode="_(* #,##0_);_(* \(#,##0\);_(* &quot;-&quot;??_);_(@_)"/>
    <numFmt numFmtId="188" formatCode="_-* #,##0_-;\-* #,##0_-;_-* &quot;-&quot;??_-;_-@"/>
    <numFmt numFmtId="189" formatCode="[$-240A]dd/mm/yyyy"/>
    <numFmt numFmtId="190" formatCode="#,##0.0"/>
    <numFmt numFmtId="191" formatCode="#,##0_ ;\-#,##0\ "/>
    <numFmt numFmtId="192" formatCode="_-* #,##0_-;\-* #,##0_-;_-* &quot;-&quot;??_-;_-@_-"/>
    <numFmt numFmtId="193" formatCode="dd\.mm\.yyyy;@"/>
    <numFmt numFmtId="194" formatCode="d/mm/yyyy;@"/>
    <numFmt numFmtId="195" formatCode="_-* #,##0.0_-;\-* #,##0.0_-;_-* &quot;-&quot;??_-;_-@_-"/>
    <numFmt numFmtId="196" formatCode="0.00000000000000000000000000000000000000000%"/>
    <numFmt numFmtId="197" formatCode="0;[Red]0"/>
    <numFmt numFmtId="198" formatCode="d&quot;/&quot;m&quot;/&quot;yyyy"/>
    <numFmt numFmtId="199" formatCode="#,##0;\(#,##0\)"/>
    <numFmt numFmtId="200" formatCode="_-* #,##0_-;\-* #,##0_-;_-* &quot;-&quot;_-;_-@"/>
    <numFmt numFmtId="201" formatCode="_-* #,##0.00_-;\-* #,##0.00_-;_-* &quot;-&quot;_-;_-@"/>
    <numFmt numFmtId="202" formatCode="_-&quot;$&quot;\ * #,##0.00_-;\-&quot;$&quot;\ * #,##0.00_-;_-&quot;$&quot;\ * &quot;-&quot;??_-;_-@"/>
    <numFmt numFmtId="203" formatCode="_-* #,##0\ _€_-;\-* #,##0\ _€_-;_-* &quot;-&quot;\ _€_-;_-@"/>
    <numFmt numFmtId="204" formatCode="_-&quot;$&quot;\ * #,##0_-;\-&quot;$&quot;\ * #,##0_-;_-&quot;$&quot;\ * &quot;-&quot;??_-;_-@"/>
  </numFmts>
  <fonts count="135">
    <font>
      <sz val="11"/>
      <color theme="1"/>
      <name val="Calibri"/>
      <family val="2"/>
      <scheme val="minor"/>
    </font>
    <font>
      <sz val="11"/>
      <color indexed="8"/>
      <name val="Calibri"/>
      <family val="2"/>
    </font>
    <font>
      <sz val="11"/>
      <name val="Arial Narrow"/>
      <family val="2"/>
    </font>
    <font>
      <sz val="10"/>
      <name val="Arial"/>
      <family val="2"/>
    </font>
    <font>
      <b/>
      <sz val="11"/>
      <name val="Arial Narrow"/>
      <family val="2"/>
    </font>
    <font>
      <b/>
      <sz val="14"/>
      <name val="Arial Narrow"/>
      <family val="2"/>
    </font>
    <font>
      <b/>
      <sz val="12"/>
      <name val="Arial Narrow"/>
      <family val="2"/>
    </font>
    <font>
      <sz val="11"/>
      <color indexed="8"/>
      <name val="Calibri"/>
      <family val="2"/>
    </font>
    <font>
      <sz val="10"/>
      <name val="Arial Narrow"/>
      <family val="2"/>
    </font>
    <font>
      <sz val="9"/>
      <color indexed="81"/>
      <name val="Tahoma"/>
      <family val="2"/>
    </font>
    <font>
      <b/>
      <sz val="9"/>
      <color indexed="81"/>
      <name val="Tahoma"/>
      <family val="2"/>
    </font>
    <font>
      <sz val="9"/>
      <color indexed="8"/>
      <name val="Arial Narrow"/>
      <family val="2"/>
    </font>
    <font>
      <sz val="9"/>
      <name val="Arial"/>
      <family val="2"/>
    </font>
    <font>
      <b/>
      <sz val="10"/>
      <name val="Arial Narrow"/>
      <family val="2"/>
    </font>
    <font>
      <sz val="8"/>
      <name val="Arial Narrow"/>
      <family val="2"/>
    </font>
    <font>
      <sz val="7"/>
      <name val="Arial Narrow"/>
      <family val="2"/>
    </font>
    <font>
      <sz val="6"/>
      <name val="Arial Narrow"/>
      <family val="2"/>
    </font>
    <font>
      <sz val="11"/>
      <color indexed="8"/>
      <name val="Calibri"/>
      <family val="2"/>
    </font>
    <font>
      <sz val="9"/>
      <color indexed="9"/>
      <name val="Arial"/>
      <family val="2"/>
    </font>
    <font>
      <sz val="10"/>
      <color indexed="9"/>
      <name val="Arial"/>
      <family val="2"/>
    </font>
    <font>
      <sz val="8"/>
      <color indexed="8"/>
      <name val="Arial Narrow"/>
      <family val="2"/>
    </font>
    <font>
      <sz val="10"/>
      <name val="MS Sans Serif"/>
      <family val="2"/>
    </font>
    <font>
      <i/>
      <sz val="11"/>
      <color indexed="23"/>
      <name val="Calibri"/>
      <family val="2"/>
    </font>
    <font>
      <sz val="11"/>
      <color indexed="8"/>
      <name val="Calibri"/>
      <family val="2"/>
    </font>
    <font>
      <sz val="12"/>
      <color indexed="8"/>
      <name val="Calibri"/>
      <family val="2"/>
    </font>
    <font>
      <sz val="9"/>
      <name val="Arial Narrow"/>
      <family val="2"/>
    </font>
    <font>
      <sz val="11"/>
      <color indexed="8"/>
      <name val="Calibri"/>
      <family val="2"/>
    </font>
    <font>
      <sz val="11"/>
      <color theme="1"/>
      <name val="Calibri"/>
      <family val="2"/>
      <scheme val="minor"/>
    </font>
    <font>
      <sz val="11"/>
      <color rgb="FF000000"/>
      <name val="Calibri"/>
      <family val="2"/>
    </font>
    <font>
      <sz val="12"/>
      <color theme="1"/>
      <name val="Calibri"/>
      <family val="2"/>
      <scheme val="minor"/>
    </font>
    <font>
      <sz val="11"/>
      <color theme="1"/>
      <name val="Arial Narrow"/>
      <family val="2"/>
    </font>
    <font>
      <sz val="9"/>
      <color theme="1"/>
      <name val="Arial Narrow"/>
      <family val="2"/>
    </font>
    <font>
      <sz val="12"/>
      <color theme="1"/>
      <name val="Arial Narrow"/>
      <family val="2"/>
    </font>
    <font>
      <b/>
      <sz val="12"/>
      <color theme="1"/>
      <name val="Arial Narrow"/>
      <family val="2"/>
    </font>
    <font>
      <sz val="12"/>
      <color indexed="8"/>
      <name val="Arial Narrow"/>
      <family val="2"/>
    </font>
    <font>
      <b/>
      <sz val="12"/>
      <color indexed="8"/>
      <name val="Arial Narrow"/>
      <family val="2"/>
    </font>
    <font>
      <sz val="9"/>
      <color rgb="FF000000"/>
      <name val="Arial Narrow"/>
      <family val="2"/>
    </font>
    <font>
      <sz val="10"/>
      <color rgb="FF000000"/>
      <name val="Arial Narrow"/>
      <family val="2"/>
    </font>
    <font>
      <sz val="8"/>
      <color theme="1"/>
      <name val="Arial Narrow"/>
      <family val="2"/>
    </font>
    <font>
      <sz val="10"/>
      <color theme="1"/>
      <name val="Arial Narrow"/>
      <family val="2"/>
    </font>
    <font>
      <sz val="11"/>
      <name val="Calibri"/>
      <family val="2"/>
    </font>
    <font>
      <sz val="11"/>
      <color theme="1"/>
      <name val="Arial"/>
      <family val="2"/>
    </font>
    <font>
      <sz val="11"/>
      <color rgb="FFFF0000"/>
      <name val="Arial Narrow"/>
      <family val="2"/>
    </font>
    <font>
      <sz val="11"/>
      <color theme="1"/>
      <name val="Arial Narrow"/>
      <family val="2"/>
    </font>
    <font>
      <b/>
      <sz val="11"/>
      <color theme="1"/>
      <name val="Arial Narrow"/>
      <family val="2"/>
    </font>
    <font>
      <sz val="10"/>
      <color rgb="FFFF0000"/>
      <name val="Arial Narrow"/>
      <family val="2"/>
    </font>
    <font>
      <b/>
      <sz val="12"/>
      <color theme="1"/>
      <name val="Arial Narrow"/>
      <family val="2"/>
    </font>
    <font>
      <sz val="11"/>
      <name val="Calibri"/>
      <family val="2"/>
    </font>
    <font>
      <b/>
      <sz val="14"/>
      <color theme="1"/>
      <name val="Arial Narrow"/>
      <family val="2"/>
    </font>
    <font>
      <sz val="12"/>
      <name val="Arial"/>
      <family val="2"/>
    </font>
    <font>
      <b/>
      <sz val="9"/>
      <color rgb="FF000000"/>
      <name val="Tahoma"/>
      <family val="2"/>
    </font>
    <font>
      <sz val="9"/>
      <color rgb="FF000000"/>
      <name val="Tahoma"/>
      <family val="2"/>
    </font>
    <font>
      <b/>
      <sz val="11"/>
      <name val="Arial"/>
      <family val="2"/>
    </font>
    <font>
      <b/>
      <sz val="11"/>
      <color theme="1"/>
      <name val="Arial"/>
      <family val="2"/>
    </font>
    <font>
      <b/>
      <sz val="11"/>
      <color rgb="FFFFFFFF"/>
      <name val="Calibri"/>
      <family val="2"/>
    </font>
    <font>
      <sz val="12"/>
      <color rgb="FFFF0000"/>
      <name val="Arial Narrow"/>
      <family val="2"/>
    </font>
    <font>
      <sz val="11"/>
      <color theme="1"/>
      <name val="Calibri"/>
      <family val="2"/>
    </font>
    <font>
      <sz val="9"/>
      <color rgb="FF000000"/>
      <name val="Arial"/>
      <family val="2"/>
    </font>
    <font>
      <sz val="10"/>
      <color rgb="FF000000"/>
      <name val="Inconsolata"/>
    </font>
    <font>
      <sz val="9"/>
      <color theme="1"/>
      <name val="Arial Narrow"/>
    </font>
    <font>
      <sz val="10"/>
      <color theme="1"/>
      <name val="Arial Narrow"/>
    </font>
    <font>
      <sz val="11"/>
      <color theme="1"/>
      <name val="Arial"/>
    </font>
    <font>
      <sz val="11"/>
      <color theme="1"/>
      <name val="Arial Narrow"/>
    </font>
    <font>
      <sz val="12"/>
      <color theme="1"/>
      <name val="Arial Narrow"/>
    </font>
    <font>
      <b/>
      <sz val="12"/>
      <color theme="1"/>
      <name val="Arial Narrow"/>
    </font>
    <font>
      <sz val="10"/>
      <color rgb="FFFF0000"/>
      <name val="Arial Narrow"/>
    </font>
    <font>
      <sz val="9"/>
      <color indexed="10"/>
      <name val="Arial Narrow"/>
      <family val="2"/>
    </font>
    <font>
      <sz val="12"/>
      <name val="Arial Narrow"/>
      <family val="2"/>
    </font>
    <font>
      <sz val="9"/>
      <color theme="1"/>
      <name val="Arial"/>
      <family val="2"/>
    </font>
    <font>
      <sz val="11"/>
      <color indexed="8"/>
      <name val="Arial Narrow"/>
      <family val="2"/>
    </font>
    <font>
      <sz val="10"/>
      <color indexed="8"/>
      <name val="Arial Narrow"/>
      <family val="2"/>
    </font>
    <font>
      <sz val="11"/>
      <color indexed="10"/>
      <name val="Arial Narrow"/>
      <family val="2"/>
    </font>
    <font>
      <sz val="9"/>
      <color rgb="FFFF0000"/>
      <name val="Arial Narrow"/>
      <family val="2"/>
    </font>
    <font>
      <sz val="10"/>
      <color indexed="10"/>
      <name val="Arial Narrow"/>
      <family val="2"/>
    </font>
    <font>
      <sz val="11"/>
      <name val="Arial"/>
    </font>
    <font>
      <sz val="9"/>
      <color rgb="FF000000"/>
      <name val="Arial Narrow"/>
    </font>
    <font>
      <sz val="9"/>
      <color rgb="FFFFFFFF"/>
      <name val="Arial Narrow"/>
    </font>
    <font>
      <sz val="10"/>
      <color rgb="FFFFFFFF"/>
      <name val="Arial Narrow"/>
    </font>
    <font>
      <sz val="8"/>
      <color theme="1"/>
      <name val="Arial Narrow"/>
    </font>
    <font>
      <sz val="11"/>
      <color rgb="FF000000"/>
      <name val="Arial Narrow"/>
    </font>
    <font>
      <sz val="10"/>
      <color rgb="FF000000"/>
      <name val="Arial Narrow"/>
    </font>
    <font>
      <sz val="11"/>
      <color rgb="FF000000"/>
      <name val="Arial Narrow"/>
      <family val="2"/>
    </font>
    <font>
      <sz val="10"/>
      <color theme="1"/>
      <name val="Arial"/>
      <family val="2"/>
    </font>
    <font>
      <b/>
      <sz val="12"/>
      <color rgb="FF000000"/>
      <name val="Arial Narrow"/>
    </font>
    <font>
      <sz val="12"/>
      <color rgb="FF000000"/>
      <name val="Arial Narrow"/>
    </font>
    <font>
      <sz val="10"/>
      <color rgb="FFFF0000"/>
      <name val="Arial"/>
    </font>
    <font>
      <sz val="9"/>
      <color theme="1"/>
      <name val="Arial"/>
    </font>
    <font>
      <sz val="12"/>
      <color rgb="FF000000"/>
      <name val="Arial Narrow"/>
      <family val="2"/>
    </font>
    <font>
      <b/>
      <sz val="12"/>
      <color rgb="FF000000"/>
      <name val="Arial Narrow"/>
      <family val="2"/>
    </font>
    <font>
      <sz val="9"/>
      <name val="Arial Narrow"/>
      <family val="2"/>
      <charset val="1"/>
    </font>
    <font>
      <b/>
      <sz val="9"/>
      <name val="Arial Narrow"/>
      <family val="2"/>
    </font>
    <font>
      <sz val="12"/>
      <color indexed="10"/>
      <name val="Arial Narrow"/>
      <family val="2"/>
    </font>
    <font>
      <b/>
      <sz val="10"/>
      <color theme="1"/>
      <name val="Arial"/>
      <family val="2"/>
    </font>
    <font>
      <b/>
      <sz val="10"/>
      <color theme="1"/>
      <name val="Arial Narrow"/>
      <family val="2"/>
    </font>
    <font>
      <b/>
      <sz val="9"/>
      <color theme="1"/>
      <name val="Arial Narrow"/>
      <family val="2"/>
    </font>
    <font>
      <sz val="11"/>
      <name val="Calibri"/>
      <family val="2"/>
      <scheme val="minor"/>
    </font>
    <font>
      <sz val="10"/>
      <color theme="1"/>
      <name val="Calibri"/>
      <family val="2"/>
      <scheme val="minor"/>
    </font>
    <font>
      <sz val="11"/>
      <name val="Arial"/>
      <family val="2"/>
    </font>
    <font>
      <sz val="8"/>
      <color theme="1"/>
      <name val="Arial"/>
      <family val="2"/>
    </font>
    <font>
      <sz val="8"/>
      <name val="Arial"/>
      <family val="2"/>
    </font>
    <font>
      <sz val="8"/>
      <color rgb="FF000000"/>
      <name val="Arial"/>
      <family val="2"/>
    </font>
    <font>
      <sz val="12"/>
      <name val="Arial Narrow"/>
      <family val="2"/>
      <charset val="1"/>
    </font>
    <font>
      <b/>
      <sz val="12"/>
      <name val="Arial Narrow"/>
      <family val="2"/>
      <charset val="1"/>
    </font>
    <font>
      <sz val="11"/>
      <name val="Arial Narrow"/>
      <family val="2"/>
      <charset val="1"/>
    </font>
    <font>
      <sz val="10"/>
      <name val="Arial Narrow"/>
      <family val="2"/>
      <charset val="1"/>
    </font>
    <font>
      <sz val="9"/>
      <name val="&quot;Arial Narrow&quot;"/>
      <charset val="1"/>
    </font>
    <font>
      <sz val="9"/>
      <color theme="3"/>
      <name val="Arial Narrow"/>
      <family val="2"/>
    </font>
    <font>
      <sz val="12"/>
      <color theme="3"/>
      <name val="Arial Narrow"/>
      <family val="2"/>
    </font>
    <font>
      <sz val="9"/>
      <color rgb="FFFF0000"/>
      <name val="Arial"/>
    </font>
    <font>
      <sz val="11"/>
      <name val="Calibri"/>
    </font>
    <font>
      <sz val="9"/>
      <color rgb="FFFF0000"/>
      <name val="Arial Narrow"/>
    </font>
    <font>
      <sz val="11"/>
      <color theme="1"/>
      <name val="Calibri"/>
      <scheme val="minor"/>
    </font>
    <font>
      <sz val="11"/>
      <color rgb="FFFF0000"/>
      <name val="Arial Narrow"/>
    </font>
    <font>
      <b/>
      <sz val="10"/>
      <color rgb="FF000000"/>
      <name val="Arial Narrow"/>
    </font>
    <font>
      <sz val="11"/>
      <color rgb="FF000000"/>
      <name val="Arial"/>
      <family val="2"/>
    </font>
    <font>
      <sz val="10"/>
      <color rgb="FF000000"/>
      <name val="Calibri"/>
      <family val="2"/>
    </font>
    <font>
      <b/>
      <sz val="10"/>
      <color rgb="FF000000"/>
      <name val="Arial Narrow"/>
      <family val="2"/>
    </font>
    <font>
      <b/>
      <sz val="9"/>
      <color rgb="FF000000"/>
      <name val="Arial Narrow"/>
      <family val="2"/>
    </font>
    <font>
      <b/>
      <sz val="9"/>
      <color indexed="8"/>
      <name val="Arial Narrow"/>
      <family val="2"/>
    </font>
    <font>
      <sz val="10"/>
      <color rgb="FFFF0000"/>
      <name val="Arial"/>
      <family val="2"/>
    </font>
    <font>
      <u/>
      <sz val="10"/>
      <color rgb="FFFF0000"/>
      <name val="Arial"/>
      <family val="2"/>
    </font>
    <font>
      <sz val="10"/>
      <color rgb="FF000000"/>
      <name val="Arial"/>
      <family val="2"/>
    </font>
    <font>
      <sz val="12"/>
      <color theme="1"/>
      <name val="Calibri"/>
      <family val="2"/>
    </font>
    <font>
      <sz val="9"/>
      <color theme="1"/>
      <name val="Calibri"/>
      <family val="2"/>
    </font>
    <font>
      <sz val="9"/>
      <color theme="1"/>
      <name val="Inconsolata"/>
    </font>
    <font>
      <sz val="9"/>
      <color rgb="FF1F1F1F"/>
      <name val="Arial"/>
    </font>
    <font>
      <sz val="9"/>
      <color rgb="FF1F1F1F"/>
      <name val="Arial Narrow"/>
    </font>
    <font>
      <sz val="10"/>
      <color theme="1"/>
      <name val="Arial"/>
    </font>
    <font>
      <b/>
      <sz val="10"/>
      <color theme="1"/>
      <name val="Arial Narrow"/>
    </font>
    <font>
      <sz val="9"/>
      <color rgb="FF0070C0"/>
      <name val="Arial Narrow"/>
    </font>
    <font>
      <u/>
      <sz val="9"/>
      <color theme="1"/>
      <name val="Arial Narrow"/>
    </font>
    <font>
      <sz val="11"/>
      <color theme="1"/>
      <name val="Calibri"/>
    </font>
    <font>
      <sz val="9"/>
      <color theme="1"/>
      <name val="Calibri"/>
    </font>
    <font>
      <b/>
      <sz val="9"/>
      <color rgb="FFFF0000"/>
      <name val="Arial Narrow"/>
    </font>
    <font>
      <b/>
      <sz val="9"/>
      <color theme="1"/>
      <name val="Arial Narrow"/>
    </font>
  </fonts>
  <fills count="1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rgb="FFFFFFFF"/>
        <bgColor rgb="FFFFFFFF"/>
      </patternFill>
    </fill>
    <fill>
      <patternFill patternType="solid">
        <fgColor rgb="FFCC0000"/>
        <bgColor rgb="FFFF0000"/>
      </patternFill>
    </fill>
    <fill>
      <patternFill patternType="solid">
        <fgColor theme="0"/>
        <bgColor theme="0"/>
      </patternFill>
    </fill>
    <fill>
      <patternFill patternType="solid">
        <fgColor rgb="FFFFFFFF"/>
        <bgColor rgb="FFFFFFCC"/>
      </patternFill>
    </fill>
    <fill>
      <patternFill patternType="solid">
        <fgColor theme="0"/>
        <bgColor rgb="FFFFFFFF"/>
      </patternFill>
    </fill>
    <fill>
      <patternFill patternType="solid">
        <fgColor theme="7" tint="0.79998168889431442"/>
        <bgColor indexed="64"/>
      </patternFill>
    </fill>
    <fill>
      <patternFill patternType="solid">
        <fgColor rgb="FFFFC000"/>
        <bgColor indexed="64"/>
      </patternFill>
    </fill>
    <fill>
      <patternFill patternType="solid">
        <fgColor theme="4" tint="0.79998168889431442"/>
        <bgColor rgb="FFFFFFCC"/>
      </patternFill>
    </fill>
    <fill>
      <patternFill patternType="solid">
        <fgColor rgb="FF9CC2E5"/>
        <bgColor rgb="FF9CC2E5"/>
      </patternFill>
    </fill>
    <fill>
      <patternFill patternType="solid">
        <fgColor theme="2" tint="-0.14999847407452621"/>
        <bgColor indexed="64"/>
      </patternFill>
    </fill>
  </fills>
  <borders count="113">
    <border>
      <left/>
      <right/>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right/>
      <top style="thin">
        <color rgb="FF000000"/>
      </top>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right style="thin">
        <color indexed="64"/>
      </right>
      <top style="thin">
        <color indexed="64"/>
      </top>
      <bottom/>
      <diagonal/>
    </border>
    <border>
      <left/>
      <right style="thin">
        <color indexed="64"/>
      </right>
      <top/>
      <bottom style="thin">
        <color indexed="64"/>
      </bottom>
      <diagonal/>
    </border>
    <border>
      <left style="hair">
        <color rgb="FF000000"/>
      </left>
      <right style="hair">
        <color rgb="FF000000"/>
      </right>
      <top style="thin">
        <color rgb="FF000000"/>
      </top>
      <bottom style="hair">
        <color rgb="FF000000"/>
      </bottom>
      <diagonal/>
    </border>
    <border>
      <left style="hair">
        <color rgb="FF000000"/>
      </left>
      <right style="hair">
        <color rgb="FF000000"/>
      </right>
      <top style="hair">
        <color rgb="FF000000"/>
      </top>
      <bottom style="thin">
        <color rgb="FF000000"/>
      </bottom>
      <diagonal/>
    </border>
    <border>
      <left/>
      <right/>
      <top style="thin">
        <color indexed="64"/>
      </top>
      <bottom style="thin">
        <color indexed="64"/>
      </bottom>
      <diagonal/>
    </border>
    <border>
      <left/>
      <right/>
      <top style="thin">
        <color indexed="64"/>
      </top>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hair">
        <color rgb="FF000000"/>
      </left>
      <right/>
      <top/>
      <bottom/>
      <diagonal/>
    </border>
    <border>
      <left/>
      <right/>
      <top style="thin">
        <color indexed="64"/>
      </top>
      <bottom style="hair">
        <color indexed="64"/>
      </bottom>
      <diagonal/>
    </border>
    <border>
      <left/>
      <right/>
      <top style="hair">
        <color auto="1"/>
      </top>
      <bottom style="thin">
        <color indexed="64"/>
      </bottom>
      <diagonal/>
    </border>
    <border>
      <left style="hair">
        <color auto="1"/>
      </left>
      <right style="hair">
        <color auto="1"/>
      </right>
      <top style="hair">
        <color auto="1"/>
      </top>
      <bottom/>
      <diagonal/>
    </border>
    <border>
      <left/>
      <right/>
      <top style="thin">
        <color indexed="64"/>
      </top>
      <bottom/>
      <diagonal/>
    </border>
    <border>
      <left style="hair">
        <color indexed="64"/>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hair">
        <color indexed="64"/>
      </right>
      <top/>
      <bottom style="hair">
        <color indexed="64"/>
      </bottom>
      <diagonal/>
    </border>
    <border>
      <left/>
      <right style="hair">
        <color rgb="FF000000"/>
      </right>
      <top style="hair">
        <color rgb="FF000000"/>
      </top>
      <bottom style="hair">
        <color rgb="FF000000"/>
      </bottom>
      <diagonal/>
    </border>
    <border>
      <left style="hair">
        <color indexed="64"/>
      </left>
      <right/>
      <top/>
      <bottom style="hair">
        <color indexed="64"/>
      </bottom>
      <diagonal/>
    </border>
    <border>
      <left style="hair">
        <color rgb="FF000000"/>
      </left>
      <right style="hair">
        <color indexed="64"/>
      </right>
      <top style="hair">
        <color indexed="64"/>
      </top>
      <bottom style="hair">
        <color indexed="64"/>
      </bottom>
      <diagonal/>
    </border>
    <border>
      <left style="hair">
        <color rgb="FF000000"/>
      </left>
      <right style="hair">
        <color rgb="FF000000"/>
      </right>
      <top/>
      <bottom style="thin">
        <color rgb="FF000000"/>
      </bottom>
      <diagonal/>
    </border>
    <border>
      <left style="hair">
        <color rgb="FF000000"/>
      </left>
      <right/>
      <top/>
      <bottom style="thin">
        <color rgb="FF000000"/>
      </bottom>
      <diagonal/>
    </border>
    <border>
      <left style="hair">
        <color indexed="64"/>
      </left>
      <right style="hair">
        <color indexed="64"/>
      </right>
      <top style="hair">
        <color indexed="64"/>
      </top>
      <bottom style="thin">
        <color rgb="FF000000"/>
      </bottom>
      <diagonal/>
    </border>
    <border>
      <left style="hair">
        <color indexed="64"/>
      </left>
      <right style="hair">
        <color indexed="64"/>
      </right>
      <top/>
      <bottom style="thin">
        <color rgb="FF000000"/>
      </bottom>
      <diagonal/>
    </border>
    <border>
      <left style="hair">
        <color indexed="8"/>
      </left>
      <right style="hair">
        <color indexed="8"/>
      </right>
      <top style="thin">
        <color indexed="8"/>
      </top>
      <bottom style="hair">
        <color indexed="8"/>
      </bottom>
      <diagonal/>
    </border>
    <border>
      <left style="hair">
        <color auto="1"/>
      </left>
      <right style="hair">
        <color auto="1"/>
      </right>
      <top style="thin">
        <color auto="1"/>
      </top>
      <bottom style="hair">
        <color auto="1"/>
      </bottom>
      <diagonal/>
    </border>
    <border>
      <left style="hair">
        <color indexed="64"/>
      </left>
      <right style="hair">
        <color indexed="64"/>
      </right>
      <top style="hair">
        <color indexed="64"/>
      </top>
      <bottom style="thin">
        <color indexed="64"/>
      </bottom>
      <diagonal/>
    </border>
    <border>
      <left/>
      <right style="hair">
        <color rgb="FF000000"/>
      </right>
      <top style="thin">
        <color rgb="FF000000"/>
      </top>
      <bottom style="hair">
        <color rgb="FF000000"/>
      </bottom>
      <diagonal/>
    </border>
    <border>
      <left style="hair">
        <color theme="0"/>
      </left>
      <right style="hair">
        <color theme="0"/>
      </right>
      <top style="hair">
        <color theme="0"/>
      </top>
      <bottom style="hair">
        <color theme="0"/>
      </bottom>
      <diagonal/>
    </border>
    <border>
      <left style="hair">
        <color rgb="FF000000"/>
      </left>
      <right/>
      <top style="hair">
        <color rgb="FF000000"/>
      </top>
      <bottom style="hair">
        <color rgb="FF000000"/>
      </bottom>
      <diagonal/>
    </border>
    <border>
      <left/>
      <right style="hair">
        <color rgb="FF000000"/>
      </right>
      <top style="hair">
        <color rgb="FF000000"/>
      </top>
      <bottom/>
      <diagonal/>
    </border>
    <border>
      <left/>
      <right style="hair">
        <color rgb="FF000000"/>
      </right>
      <top/>
      <bottom style="hair">
        <color rgb="FF000000"/>
      </bottom>
      <diagonal/>
    </border>
    <border>
      <left style="hair">
        <color rgb="FF000000"/>
      </left>
      <right/>
      <top style="hair">
        <color rgb="FF000000"/>
      </top>
      <bottom/>
      <diagonal/>
    </border>
    <border>
      <left style="hair">
        <color theme="0"/>
      </left>
      <right style="hair">
        <color theme="0"/>
      </right>
      <top style="hair">
        <color theme="0"/>
      </top>
      <bottom style="thin">
        <color rgb="FF000000"/>
      </bottom>
      <diagonal/>
    </border>
    <border>
      <left style="hair">
        <color indexed="64"/>
      </left>
      <right style="hair">
        <color indexed="64"/>
      </right>
      <top style="hair">
        <color indexed="64"/>
      </top>
      <bottom/>
      <diagonal/>
    </border>
    <border>
      <left style="hair">
        <color indexed="64"/>
      </left>
      <right/>
      <top style="hair">
        <color indexed="64"/>
      </top>
      <bottom style="thin">
        <color indexed="64"/>
      </bottom>
      <diagonal/>
    </border>
    <border>
      <left/>
      <right style="hair">
        <color rgb="FF000000"/>
      </right>
      <top/>
      <bottom/>
      <diagonal/>
    </border>
    <border>
      <left style="hair">
        <color rgb="FF000000"/>
      </left>
      <right/>
      <top style="hair">
        <color rgb="FF000000"/>
      </top>
      <bottom style="thin">
        <color rgb="FF000000"/>
      </bottom>
      <diagonal/>
    </border>
    <border>
      <left style="hair">
        <color rgb="FF000000"/>
      </left>
      <right style="hair">
        <color rgb="FF000000"/>
      </right>
      <top style="thin">
        <color rgb="FF000000"/>
      </top>
      <bottom/>
      <diagonal/>
    </border>
    <border>
      <left/>
      <right style="hair">
        <color rgb="FF000000"/>
      </right>
      <top style="thin">
        <color rgb="FF000000"/>
      </top>
      <bottom/>
      <diagonal/>
    </border>
    <border>
      <left/>
      <right/>
      <top/>
      <bottom style="hair">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hair">
        <color rgb="FF000000"/>
      </left>
      <right style="hair">
        <color theme="0"/>
      </right>
      <top style="hair">
        <color rgb="FF000000"/>
      </top>
      <bottom style="hair">
        <color rgb="FF000000"/>
      </bottom>
      <diagonal/>
    </border>
    <border>
      <left style="hair">
        <color theme="0"/>
      </left>
      <right/>
      <top style="hair">
        <color theme="0"/>
      </top>
      <bottom style="hair">
        <color theme="0"/>
      </bottom>
      <diagonal/>
    </border>
    <border>
      <left style="hair">
        <color rgb="FF000000"/>
      </left>
      <right/>
      <top/>
      <bottom style="hair">
        <color rgb="FF000000"/>
      </bottom>
      <diagonal/>
    </border>
    <border>
      <left/>
      <right/>
      <top style="hair">
        <color rgb="FF000000"/>
      </top>
      <bottom style="hair">
        <color rgb="FF000000"/>
      </bottom>
      <diagonal/>
    </border>
    <border>
      <left/>
      <right style="hair">
        <color theme="0"/>
      </right>
      <top style="hair">
        <color theme="0"/>
      </top>
      <bottom style="hair">
        <color theme="0"/>
      </bottom>
      <diagonal/>
    </border>
    <border>
      <left/>
      <right/>
      <top style="hair">
        <color rgb="FF000000"/>
      </top>
      <bottom/>
      <diagonal/>
    </border>
    <border>
      <left style="hair">
        <color theme="0"/>
      </left>
      <right style="hair">
        <color theme="0"/>
      </right>
      <top style="hair">
        <color theme="0"/>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hair">
        <color indexed="8"/>
      </left>
      <right style="hair">
        <color indexed="8"/>
      </right>
      <top style="hair">
        <color indexed="8"/>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auto="1"/>
      </left>
      <right style="hair">
        <color auto="1"/>
      </right>
      <top style="hair">
        <color auto="1"/>
      </top>
      <bottom/>
      <diagonal/>
    </border>
    <border>
      <left/>
      <right style="hair">
        <color auto="1"/>
      </right>
      <top style="hair">
        <color auto="1"/>
      </top>
      <bottom/>
      <diagonal/>
    </border>
    <border>
      <left style="hair">
        <color auto="1"/>
      </left>
      <right style="hair">
        <color auto="1"/>
      </right>
      <top style="thin">
        <color indexed="64"/>
      </top>
      <bottom/>
      <diagonal/>
    </border>
    <border>
      <left style="hair">
        <color rgb="FF000000"/>
      </left>
      <right style="hair">
        <color rgb="FF000000"/>
      </right>
      <top style="hair">
        <color indexed="64"/>
      </top>
      <bottom style="hair">
        <color rgb="FF000000"/>
      </bottom>
      <diagonal/>
    </border>
    <border>
      <left style="hair">
        <color rgb="FF000000"/>
      </left>
      <right style="hair">
        <color rgb="FF000000"/>
      </right>
      <top style="hair">
        <color rgb="FF000000"/>
      </top>
      <bottom style="hair">
        <color indexed="64"/>
      </bottom>
      <diagonal/>
    </border>
    <border>
      <left/>
      <right/>
      <top style="thin">
        <color rgb="FF000000"/>
      </top>
      <bottom style="hair">
        <color rgb="FF000000"/>
      </bottom>
      <diagonal/>
    </border>
    <border>
      <left style="hair">
        <color rgb="FF000000"/>
      </left>
      <right style="hair">
        <color rgb="FF000000"/>
      </right>
      <top/>
      <bottom style="hair">
        <color indexed="64"/>
      </bottom>
      <diagonal/>
    </border>
    <border>
      <left/>
      <right/>
      <top/>
      <bottom style="hair">
        <color indexed="64"/>
      </bottom>
      <diagonal/>
    </border>
    <border>
      <left style="hair">
        <color indexed="64"/>
      </left>
      <right/>
      <top/>
      <bottom/>
      <diagonal/>
    </border>
    <border>
      <left style="hair">
        <color rgb="FF000000"/>
      </left>
      <right style="hair">
        <color rgb="FF000000"/>
      </right>
      <top style="hair">
        <color rgb="FF000000"/>
      </top>
      <bottom style="dotted">
        <color indexed="64"/>
      </bottom>
      <diagonal/>
    </border>
    <border>
      <left/>
      <right/>
      <top style="hair">
        <color indexed="64"/>
      </top>
      <bottom/>
      <diagonal/>
    </border>
    <border>
      <left style="hair">
        <color rgb="FF000000"/>
      </left>
      <right style="hair">
        <color rgb="FF000000"/>
      </right>
      <top/>
      <bottom style="dotted">
        <color indexed="64"/>
      </bottom>
      <diagonal/>
    </border>
    <border>
      <left/>
      <right/>
      <top style="hair">
        <color indexed="64"/>
      </top>
      <bottom style="hair">
        <color indexed="64"/>
      </bottom>
      <diagonal/>
    </border>
    <border>
      <left style="hair">
        <color auto="1"/>
      </left>
      <right style="hair">
        <color auto="1"/>
      </right>
      <top/>
      <bottom/>
      <diagonal/>
    </border>
    <border>
      <left style="hair">
        <color theme="0"/>
      </left>
      <right style="hair">
        <color theme="0"/>
      </right>
      <top style="hair">
        <color theme="0"/>
      </top>
      <bottom style="thin">
        <color indexed="64"/>
      </bottom>
      <diagonal/>
    </border>
    <border>
      <left style="hair">
        <color auto="1"/>
      </left>
      <right style="hair">
        <color auto="1"/>
      </right>
      <top style="hair">
        <color auto="1"/>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thin">
        <color rgb="FF000000"/>
      </left>
      <right style="thin">
        <color rgb="FF000000"/>
      </right>
      <top style="thin">
        <color rgb="FF000000"/>
      </top>
      <bottom style="thin">
        <color rgb="FF000000"/>
      </bottom>
      <diagonal/>
    </border>
    <border>
      <left/>
      <right style="dotted">
        <color rgb="FF000000"/>
      </right>
      <top style="dotted">
        <color rgb="FF000000"/>
      </top>
      <bottom style="dotted">
        <color rgb="FF000000"/>
      </bottom>
      <diagonal/>
    </border>
    <border>
      <left style="hair">
        <color rgb="FF000000"/>
      </left>
      <right style="dotted">
        <color rgb="FF000000"/>
      </right>
      <top/>
      <bottom/>
      <diagonal/>
    </border>
    <border>
      <left style="hair">
        <color rgb="FF000000"/>
      </left>
      <right style="dotted">
        <color rgb="FF000000"/>
      </right>
      <top/>
      <bottom style="hair">
        <color rgb="FF000000"/>
      </bottom>
      <diagonal/>
    </border>
    <border>
      <left style="hair">
        <color rgb="FF000000"/>
      </left>
      <right style="dotted">
        <color rgb="FF000000"/>
      </right>
      <top style="hair">
        <color rgb="FF000000"/>
      </top>
      <bottom/>
      <diagonal/>
    </border>
    <border>
      <left style="hair">
        <color rgb="FF000000"/>
      </left>
      <right style="dotted">
        <color rgb="FF000000"/>
      </right>
      <top/>
      <bottom style="thin">
        <color rgb="FF000000"/>
      </bottom>
      <diagonal/>
    </border>
    <border>
      <left style="hair">
        <color rgb="FF000000"/>
      </left>
      <right style="medium">
        <color rgb="FF000000"/>
      </right>
      <top style="hair">
        <color rgb="FF000000"/>
      </top>
      <bottom style="hair">
        <color rgb="FF000000"/>
      </bottom>
      <diagonal/>
    </border>
    <border>
      <left style="hair">
        <color rgb="FF000000"/>
      </left>
      <right style="medium">
        <color rgb="FF000000"/>
      </right>
      <top style="hair">
        <color rgb="FF000000"/>
      </top>
      <bottom/>
      <diagonal/>
    </border>
    <border>
      <left style="hair">
        <color auto="1"/>
      </left>
      <right style="hair">
        <color auto="1"/>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thin">
        <color auto="1"/>
      </bottom>
      <diagonal/>
    </border>
  </borders>
  <cellStyleXfs count="91">
    <xf numFmtId="0" fontId="0" fillId="0" borderId="0"/>
    <xf numFmtId="170" fontId="3" fillId="0" borderId="0" applyFont="0" applyFill="0" applyBorder="0" applyAlignment="0" applyProtection="0"/>
    <xf numFmtId="171" fontId="3" fillId="0" borderId="0" applyFont="0" applyFill="0" applyBorder="0" applyAlignment="0" applyProtection="0"/>
    <xf numFmtId="0" fontId="1" fillId="0" borderId="0"/>
    <xf numFmtId="175" fontId="28" fillId="0" borderId="0"/>
    <xf numFmtId="0" fontId="1" fillId="0" borderId="0"/>
    <xf numFmtId="0" fontId="22" fillId="0" borderId="0" applyNumberFormat="0" applyFill="0" applyBorder="0" applyAlignment="0" applyProtection="0"/>
    <xf numFmtId="41" fontId="17" fillId="0" borderId="0" applyFont="0" applyFill="0" applyBorder="0" applyAlignment="0" applyProtection="0"/>
    <xf numFmtId="164" fontId="17" fillId="0" borderId="0" applyFont="0" applyFill="0" applyBorder="0" applyAlignment="0" applyProtection="0"/>
    <xf numFmtId="41" fontId="3" fillId="0" borderId="0" applyFont="0" applyFill="0" applyBorder="0" applyAlignment="0" applyProtection="0"/>
    <xf numFmtId="41" fontId="23" fillId="0" borderId="0" applyFont="0" applyFill="0" applyBorder="0" applyAlignment="0" applyProtection="0"/>
    <xf numFmtId="41" fontId="26" fillId="0" borderId="0" applyFont="0" applyFill="0" applyBorder="0" applyAlignment="0" applyProtection="0"/>
    <xf numFmtId="167" fontId="3" fillId="0" borderId="0" applyFont="0" applyFill="0" applyBorder="0" applyAlignment="0" applyProtection="0"/>
    <xf numFmtId="165" fontId="1"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5" fontId="7" fillId="0" borderId="0" applyFont="0" applyFill="0" applyBorder="0" applyAlignment="0" applyProtection="0"/>
    <xf numFmtId="165" fontId="1"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0" fontId="21"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173" fontId="1" fillId="0" borderId="0" applyFont="0" applyFill="0" applyBorder="0" applyAlignment="0" applyProtection="0"/>
    <xf numFmtId="165" fontId="1" fillId="0" borderId="0" applyFont="0" applyFill="0" applyBorder="0" applyAlignment="0" applyProtection="0"/>
    <xf numFmtId="168" fontId="17" fillId="0" borderId="0" applyFont="0" applyFill="0" applyBorder="0" applyAlignment="0" applyProtection="0"/>
    <xf numFmtId="165" fontId="23" fillId="0" borderId="0" applyFont="0" applyFill="0" applyBorder="0" applyAlignment="0" applyProtection="0"/>
    <xf numFmtId="165" fontId="1" fillId="0" borderId="0" applyFont="0" applyFill="0" applyBorder="0" applyAlignment="0" applyProtection="0"/>
    <xf numFmtId="168" fontId="3" fillId="0" borderId="0" applyFont="0" applyFill="0" applyBorder="0" applyAlignment="0" applyProtection="0"/>
    <xf numFmtId="166" fontId="1" fillId="0" borderId="0" applyFont="0" applyFill="0" applyBorder="0" applyAlignment="0" applyProtection="0"/>
    <xf numFmtId="42" fontId="24"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28" fillId="0" borderId="0"/>
    <xf numFmtId="0" fontId="27" fillId="0" borderId="0"/>
    <xf numFmtId="0" fontId="27" fillId="0" borderId="0"/>
    <xf numFmtId="0" fontId="27" fillId="0" borderId="0"/>
    <xf numFmtId="0" fontId="27" fillId="0" borderId="0"/>
    <xf numFmtId="0" fontId="27" fillId="0" borderId="0"/>
    <xf numFmtId="0" fontId="1" fillId="0" borderId="0"/>
    <xf numFmtId="0" fontId="3" fillId="0" borderId="0"/>
    <xf numFmtId="0" fontId="27"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9" fontId="17"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7" fillId="0" borderId="0" applyFont="0" applyFill="0" applyBorder="0" applyAlignment="0" applyProtection="0"/>
    <xf numFmtId="9" fontId="23"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 fillId="0" borderId="0"/>
    <xf numFmtId="178" fontId="1" fillId="0" borderId="0" applyFont="0" applyFill="0" applyBorder="0" applyAlignment="0" applyProtection="0"/>
    <xf numFmtId="41" fontId="1"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0" fontId="41" fillId="0" borderId="0"/>
    <xf numFmtId="0" fontId="29" fillId="0" borderId="0"/>
    <xf numFmtId="0" fontId="54" fillId="7" borderId="0" applyBorder="0" applyProtection="0"/>
    <xf numFmtId="0" fontId="29" fillId="0" borderId="0"/>
    <xf numFmtId="0" fontId="41" fillId="0" borderId="0"/>
    <xf numFmtId="0" fontId="41" fillId="0" borderId="0"/>
    <xf numFmtId="43" fontId="27" fillId="0" borderId="0" applyFont="0" applyFill="0" applyBorder="0" applyAlignment="0" applyProtection="0"/>
    <xf numFmtId="41" fontId="27" fillId="0" borderId="0" applyFont="0" applyFill="0" applyBorder="0" applyAlignment="0" applyProtection="0"/>
    <xf numFmtId="44" fontId="27" fillId="0" borderId="0" applyFont="0" applyFill="0" applyBorder="0" applyAlignment="0" applyProtection="0"/>
    <xf numFmtId="0" fontId="1" fillId="0" borderId="0"/>
    <xf numFmtId="42" fontId="27" fillId="0" borderId="0" applyFont="0" applyFill="0" applyBorder="0" applyAlignment="0" applyProtection="0"/>
  </cellStyleXfs>
  <cellXfs count="3451">
    <xf numFmtId="0" fontId="0" fillId="0" borderId="0" xfId="0"/>
    <xf numFmtId="0" fontId="11" fillId="0" borderId="1" xfId="35" applyFont="1" applyBorder="1" applyAlignment="1">
      <alignment horizontal="center" vertical="center" wrapText="1"/>
    </xf>
    <xf numFmtId="0" fontId="2" fillId="0" borderId="0" xfId="43" applyFont="1" applyAlignment="1">
      <alignment horizontal="center" vertical="center"/>
    </xf>
    <xf numFmtId="0" fontId="2" fillId="0" borderId="0" xfId="43" applyFont="1" applyAlignment="1">
      <alignment vertical="center"/>
    </xf>
    <xf numFmtId="0" fontId="8" fillId="0" borderId="0" xfId="35" applyFont="1" applyAlignment="1">
      <alignment horizontal="left" vertical="center"/>
    </xf>
    <xf numFmtId="0" fontId="8" fillId="0" borderId="0" xfId="35" applyFont="1" applyAlignment="1">
      <alignment vertical="center"/>
    </xf>
    <xf numFmtId="0" fontId="3" fillId="0" borderId="0" xfId="35" applyAlignment="1">
      <alignment vertical="center"/>
    </xf>
    <xf numFmtId="0" fontId="8" fillId="0" borderId="0" xfId="35" quotePrefix="1" applyFont="1" applyAlignment="1">
      <alignment horizontal="left" vertical="center"/>
    </xf>
    <xf numFmtId="0" fontId="8" fillId="0" borderId="0" xfId="35" applyFont="1" applyAlignment="1">
      <alignment horizontal="right" vertical="center"/>
    </xf>
    <xf numFmtId="0" fontId="8" fillId="0" borderId="0" xfId="35" applyFont="1" applyAlignment="1">
      <alignment horizontal="center" vertical="center"/>
    </xf>
    <xf numFmtId="9" fontId="13" fillId="0" borderId="0" xfId="64" applyFont="1" applyAlignment="1">
      <alignment horizontal="center" vertical="center"/>
    </xf>
    <xf numFmtId="0" fontId="12" fillId="0" borderId="0" xfId="35" applyFont="1" applyAlignment="1">
      <alignment vertical="center"/>
    </xf>
    <xf numFmtId="0" fontId="8" fillId="0" borderId="2" xfId="35" applyFont="1" applyBorder="1" applyAlignment="1">
      <alignment vertical="center"/>
    </xf>
    <xf numFmtId="0" fontId="8" fillId="0" borderId="2" xfId="35" applyFont="1" applyBorder="1" applyAlignment="1">
      <alignment horizontal="left" vertical="center"/>
    </xf>
    <xf numFmtId="3" fontId="3" fillId="0" borderId="0" xfId="35" applyNumberFormat="1" applyAlignment="1">
      <alignment vertical="center"/>
    </xf>
    <xf numFmtId="0" fontId="12" fillId="0" borderId="0" xfId="35" applyFont="1" applyAlignment="1">
      <alignment horizontal="right" vertical="center"/>
    </xf>
    <xf numFmtId="0" fontId="2" fillId="0" borderId="0" xfId="43" applyFont="1" applyAlignment="1">
      <alignment horizontal="left" vertical="center"/>
    </xf>
    <xf numFmtId="0" fontId="2" fillId="0" borderId="0" xfId="43" applyFont="1" applyAlignment="1">
      <alignment vertical="center" wrapText="1"/>
    </xf>
    <xf numFmtId="0" fontId="18" fillId="0" borderId="0" xfId="35" applyFont="1" applyAlignment="1">
      <alignment horizontal="right" vertical="center"/>
    </xf>
    <xf numFmtId="0" fontId="18" fillId="0" borderId="0" xfId="35" applyFont="1" applyAlignment="1">
      <alignment vertical="center"/>
    </xf>
    <xf numFmtId="0" fontId="19" fillId="0" borderId="0" xfId="35" applyFont="1" applyAlignment="1">
      <alignment vertical="center"/>
    </xf>
    <xf numFmtId="10" fontId="18" fillId="0" borderId="0" xfId="35" applyNumberFormat="1" applyFont="1" applyAlignment="1">
      <alignment vertical="center"/>
    </xf>
    <xf numFmtId="174" fontId="18" fillId="0" borderId="0" xfId="35" applyNumberFormat="1" applyFont="1" applyAlignment="1">
      <alignment vertical="center"/>
    </xf>
    <xf numFmtId="0" fontId="11" fillId="0" borderId="2" xfId="35" applyFont="1" applyBorder="1" applyAlignment="1">
      <alignment horizontal="center" vertical="center" wrapText="1"/>
    </xf>
    <xf numFmtId="0" fontId="14" fillId="0" borderId="0" xfId="35" applyFont="1" applyAlignment="1">
      <alignment vertical="center"/>
    </xf>
    <xf numFmtId="0" fontId="2" fillId="2" borderId="0" xfId="44" applyFont="1" applyFill="1" applyAlignment="1">
      <alignment vertical="center"/>
    </xf>
    <xf numFmtId="0" fontId="2" fillId="2" borderId="0" xfId="43" applyFont="1" applyFill="1" applyAlignment="1">
      <alignment vertical="center"/>
    </xf>
    <xf numFmtId="0" fontId="2" fillId="0" borderId="0" xfId="44" applyFont="1" applyAlignment="1">
      <alignment vertical="center"/>
    </xf>
    <xf numFmtId="3" fontId="14" fillId="0" borderId="0" xfId="35" applyNumberFormat="1" applyFont="1" applyAlignment="1">
      <alignment vertical="center"/>
    </xf>
    <xf numFmtId="3" fontId="14" fillId="0" borderId="0" xfId="35" applyNumberFormat="1" applyFont="1" applyAlignment="1">
      <alignment horizontal="right" vertical="center"/>
    </xf>
    <xf numFmtId="172" fontId="14" fillId="0" borderId="0" xfId="35" applyNumberFormat="1" applyFont="1" applyAlignment="1">
      <alignment horizontal="right" vertical="center" wrapText="1"/>
    </xf>
    <xf numFmtId="172" fontId="14" fillId="0" borderId="0" xfId="64" applyNumberFormat="1" applyFont="1" applyAlignment="1">
      <alignment vertical="center"/>
    </xf>
    <xf numFmtId="0" fontId="14" fillId="0" borderId="0" xfId="35" applyFont="1" applyAlignment="1">
      <alignment horizontal="center" vertical="center"/>
    </xf>
    <xf numFmtId="0" fontId="14" fillId="0" borderId="0" xfId="35" applyFont="1" applyAlignment="1">
      <alignment horizontal="left" vertical="center"/>
    </xf>
    <xf numFmtId="0" fontId="20" fillId="0" borderId="0" xfId="0" applyFont="1" applyAlignment="1">
      <alignment horizontal="center" vertical="center" wrapText="1"/>
    </xf>
    <xf numFmtId="3" fontId="14" fillId="0" borderId="0" xfId="35" applyNumberFormat="1" applyFont="1" applyAlignment="1">
      <alignment horizontal="left" vertical="center"/>
    </xf>
    <xf numFmtId="172" fontId="14" fillId="0" borderId="0" xfId="35" applyNumberFormat="1" applyFont="1" applyAlignment="1">
      <alignment horizontal="left" vertical="center"/>
    </xf>
    <xf numFmtId="172" fontId="14" fillId="0" borderId="0" xfId="35" applyNumberFormat="1" applyFont="1" applyAlignment="1">
      <alignment vertical="center"/>
    </xf>
    <xf numFmtId="0" fontId="15" fillId="0" borderId="0" xfId="35" applyFont="1" applyAlignment="1">
      <alignment vertical="center"/>
    </xf>
    <xf numFmtId="0" fontId="16" fillId="0" borderId="0" xfId="35" quotePrefix="1" applyFont="1" applyAlignment="1">
      <alignment vertical="center"/>
    </xf>
    <xf numFmtId="0" fontId="6" fillId="0" borderId="1" xfId="39" applyFont="1" applyBorder="1" applyAlignment="1">
      <alignment horizontal="center" vertical="center" wrapText="1"/>
    </xf>
    <xf numFmtId="0" fontId="6" fillId="3" borderId="1" xfId="39" applyFont="1" applyFill="1" applyBorder="1" applyAlignment="1">
      <alignment horizontal="center" vertical="center"/>
    </xf>
    <xf numFmtId="0" fontId="6" fillId="0" borderId="1" xfId="39" applyFont="1" applyBorder="1" applyAlignment="1">
      <alignment horizontal="center" vertical="center"/>
    </xf>
    <xf numFmtId="0" fontId="2" fillId="0" borderId="0" xfId="35" applyFont="1" applyAlignment="1">
      <alignment horizontal="left" vertical="center"/>
    </xf>
    <xf numFmtId="0" fontId="8" fillId="0" borderId="0" xfId="44" applyFont="1" applyAlignment="1">
      <alignment horizontal="center" vertical="center"/>
    </xf>
    <xf numFmtId="0" fontId="8" fillId="0" borderId="0" xfId="43" applyFont="1" applyAlignment="1">
      <alignment vertical="center"/>
    </xf>
    <xf numFmtId="0" fontId="8" fillId="0" borderId="0" xfId="44" applyFont="1" applyAlignment="1">
      <alignment vertical="center"/>
    </xf>
    <xf numFmtId="0" fontId="8" fillId="0" borderId="0" xfId="43" applyFont="1" applyAlignment="1">
      <alignment horizontal="center" vertical="center"/>
    </xf>
    <xf numFmtId="0" fontId="8" fillId="0" borderId="0" xfId="43" applyFont="1" applyAlignment="1">
      <alignment horizontal="left" vertical="center"/>
    </xf>
    <xf numFmtId="0" fontId="8" fillId="0" borderId="0" xfId="44" applyFont="1" applyAlignment="1">
      <alignment vertical="center" wrapText="1"/>
    </xf>
    <xf numFmtId="0" fontId="2" fillId="0" borderId="0" xfId="44" applyFont="1" applyAlignment="1">
      <alignment horizontal="center" vertical="center"/>
    </xf>
    <xf numFmtId="0" fontId="39" fillId="0" borderId="0" xfId="0" applyFont="1" applyAlignment="1">
      <alignment vertical="center"/>
    </xf>
    <xf numFmtId="0" fontId="39" fillId="0" borderId="0" xfId="0" applyFont="1" applyAlignment="1">
      <alignment horizontal="center" vertical="center"/>
    </xf>
    <xf numFmtId="0" fontId="30" fillId="0" borderId="0" xfId="0" applyFont="1" applyAlignment="1">
      <alignment vertical="center"/>
    </xf>
    <xf numFmtId="3" fontId="39" fillId="0" borderId="0" xfId="0" applyNumberFormat="1" applyFont="1" applyAlignment="1">
      <alignment vertical="center"/>
    </xf>
    <xf numFmtId="0" fontId="30" fillId="0" borderId="0" xfId="0" applyFont="1" applyAlignment="1">
      <alignment vertical="center" wrapText="1"/>
    </xf>
    <xf numFmtId="0" fontId="39" fillId="0" borderId="0" xfId="0" applyFont="1" applyAlignment="1">
      <alignment vertical="center" wrapText="1"/>
    </xf>
    <xf numFmtId="0" fontId="2" fillId="0" borderId="0" xfId="43" applyFont="1"/>
    <xf numFmtId="0" fontId="43" fillId="0" borderId="0" xfId="0" applyFont="1" applyAlignment="1">
      <alignment vertical="center"/>
    </xf>
    <xf numFmtId="1" fontId="37" fillId="0" borderId="0" xfId="0" applyNumberFormat="1" applyFont="1" applyAlignment="1">
      <alignment horizontal="center" vertical="center"/>
    </xf>
    <xf numFmtId="0" fontId="6" fillId="5" borderId="1" xfId="39" applyFont="1" applyFill="1" applyBorder="1" applyAlignment="1">
      <alignment horizontal="center" vertical="center"/>
    </xf>
    <xf numFmtId="0" fontId="2" fillId="0" borderId="0" xfId="44" applyFont="1"/>
    <xf numFmtId="0" fontId="46" fillId="0" borderId="11" xfId="0" applyFont="1" applyBorder="1" applyAlignment="1">
      <alignment horizontal="left" vertical="center" wrapText="1"/>
    </xf>
    <xf numFmtId="0" fontId="46" fillId="0" borderId="11" xfId="0" applyFont="1" applyBorder="1" applyAlignment="1">
      <alignment horizontal="center" vertical="center"/>
    </xf>
    <xf numFmtId="0" fontId="49" fillId="0" borderId="0" xfId="44" applyFont="1" applyAlignment="1">
      <alignment vertical="center"/>
    </xf>
    <xf numFmtId="0" fontId="2" fillId="0" borderId="0" xfId="44" applyFont="1" applyAlignment="1">
      <alignment vertical="center" wrapText="1"/>
    </xf>
    <xf numFmtId="10" fontId="2" fillId="0" borderId="0" xfId="79" applyNumberFormat="1" applyFont="1" applyFill="1" applyAlignment="1">
      <alignment vertical="center"/>
    </xf>
    <xf numFmtId="9" fontId="2" fillId="0" borderId="0" xfId="79" applyFont="1" applyFill="1" applyAlignment="1">
      <alignment vertical="center"/>
    </xf>
    <xf numFmtId="10" fontId="2" fillId="0" borderId="0" xfId="79" applyNumberFormat="1" applyFont="1" applyFill="1" applyAlignment="1">
      <alignment horizontal="center" vertical="center"/>
    </xf>
    <xf numFmtId="9" fontId="2" fillId="0" borderId="0" xfId="79" applyFont="1" applyFill="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vertical="center" wrapText="1"/>
    </xf>
    <xf numFmtId="0" fontId="31" fillId="0" borderId="10" xfId="0" applyFont="1" applyBorder="1" applyAlignment="1">
      <alignment horizontal="center" vertical="center"/>
    </xf>
    <xf numFmtId="0" fontId="31" fillId="0" borderId="10" xfId="0" applyFont="1" applyBorder="1" applyAlignment="1">
      <alignment vertical="center"/>
    </xf>
    <xf numFmtId="3" fontId="31" fillId="0" borderId="10" xfId="0" applyNumberFormat="1" applyFont="1" applyBorder="1" applyAlignment="1">
      <alignment vertical="center"/>
    </xf>
    <xf numFmtId="172" fontId="31" fillId="0" borderId="10" xfId="0" applyNumberFormat="1" applyFont="1" applyBorder="1" applyAlignment="1">
      <alignment vertical="center"/>
    </xf>
    <xf numFmtId="3" fontId="39" fillId="0" borderId="10" xfId="0" applyNumberFormat="1" applyFont="1" applyBorder="1" applyAlignment="1">
      <alignment vertical="center" wrapText="1"/>
    </xf>
    <xf numFmtId="0" fontId="32" fillId="0" borderId="18" xfId="0" applyFont="1" applyBorder="1" applyAlignment="1">
      <alignment vertical="center"/>
    </xf>
    <xf numFmtId="0" fontId="32" fillId="0" borderId="18" xfId="0" applyFont="1" applyBorder="1" applyAlignment="1">
      <alignment horizontal="center" vertical="center"/>
    </xf>
    <xf numFmtId="0" fontId="32" fillId="0" borderId="18" xfId="0" applyFont="1" applyBorder="1" applyAlignment="1">
      <alignment horizontal="left" vertical="center" wrapText="1"/>
    </xf>
    <xf numFmtId="3" fontId="32" fillId="0" borderId="18" xfId="0" applyNumberFormat="1" applyFont="1" applyBorder="1" applyAlignment="1">
      <alignment vertical="center" wrapText="1"/>
    </xf>
    <xf numFmtId="0" fontId="32" fillId="0" borderId="10" xfId="0" applyFont="1" applyBorder="1" applyAlignment="1">
      <alignment vertical="center"/>
    </xf>
    <xf numFmtId="0" fontId="32" fillId="0" borderId="10" xfId="0" applyFont="1" applyBorder="1" applyAlignment="1">
      <alignment horizontal="center" vertical="center"/>
    </xf>
    <xf numFmtId="0" fontId="32" fillId="0" borderId="10" xfId="0" applyFont="1" applyBorder="1" applyAlignment="1">
      <alignment horizontal="left" vertical="center" wrapText="1"/>
    </xf>
    <xf numFmtId="3" fontId="32" fillId="0" borderId="10" xfId="0" applyNumberFormat="1" applyFont="1" applyBorder="1" applyAlignment="1">
      <alignment vertical="center" wrapText="1"/>
    </xf>
    <xf numFmtId="0" fontId="32" fillId="0" borderId="10" xfId="0" applyFont="1" applyBorder="1" applyAlignment="1">
      <alignment vertical="center" wrapText="1"/>
    </xf>
    <xf numFmtId="0" fontId="30" fillId="0" borderId="10" xfId="0" applyFont="1" applyBorder="1" applyAlignment="1">
      <alignment vertical="center"/>
    </xf>
    <xf numFmtId="0" fontId="30" fillId="0" borderId="10" xfId="0" applyFont="1" applyBorder="1" applyAlignment="1">
      <alignment horizontal="left" vertical="center" wrapText="1"/>
    </xf>
    <xf numFmtId="0" fontId="39" fillId="0" borderId="10" xfId="0" applyFont="1" applyBorder="1" applyAlignment="1">
      <alignment vertical="center"/>
    </xf>
    <xf numFmtId="3" fontId="31" fillId="0" borderId="10" xfId="0" applyNumberFormat="1" applyFont="1" applyBorder="1" applyAlignment="1">
      <alignment horizontal="center" vertical="center" wrapText="1"/>
    </xf>
    <xf numFmtId="3" fontId="31" fillId="0" borderId="10" xfId="0" applyNumberFormat="1" applyFont="1" applyBorder="1" applyAlignment="1">
      <alignment horizontal="center" vertical="center"/>
    </xf>
    <xf numFmtId="3" fontId="39" fillId="0" borderId="10" xfId="0" applyNumberFormat="1" applyFont="1" applyBorder="1" applyAlignment="1">
      <alignment horizontal="center" vertical="center" wrapText="1"/>
    </xf>
    <xf numFmtId="0" fontId="31" fillId="0" borderId="10" xfId="0" applyFont="1" applyBorder="1" applyAlignment="1">
      <alignment vertical="center" wrapText="1"/>
    </xf>
    <xf numFmtId="0" fontId="30" fillId="0" borderId="10" xfId="0" applyFont="1" applyBorder="1" applyAlignment="1">
      <alignment vertical="center" wrapText="1"/>
    </xf>
    <xf numFmtId="0" fontId="30" fillId="0" borderId="10" xfId="0" applyFont="1" applyBorder="1" applyAlignment="1">
      <alignment horizontal="center" vertical="center"/>
    </xf>
    <xf numFmtId="3" fontId="30" fillId="0" borderId="10" xfId="0" applyNumberFormat="1" applyFont="1" applyBorder="1" applyAlignment="1">
      <alignment vertical="center" wrapText="1"/>
    </xf>
    <xf numFmtId="172" fontId="31" fillId="0" borderId="10" xfId="0" applyNumberFormat="1" applyFont="1" applyBorder="1" applyAlignment="1">
      <alignment vertical="center" wrapText="1"/>
    </xf>
    <xf numFmtId="3" fontId="31" fillId="0" borderId="10" xfId="0" applyNumberFormat="1" applyFont="1" applyBorder="1" applyAlignment="1">
      <alignment horizontal="right" vertical="center" wrapText="1"/>
    </xf>
    <xf numFmtId="9" fontId="39" fillId="0" borderId="10" xfId="0" applyNumberFormat="1" applyFont="1" applyBorder="1" applyAlignment="1">
      <alignment horizontal="center" vertical="center"/>
    </xf>
    <xf numFmtId="9" fontId="31" fillId="0" borderId="10" xfId="0" applyNumberFormat="1" applyFont="1" applyBorder="1" applyAlignment="1">
      <alignment horizontal="center" vertical="center"/>
    </xf>
    <xf numFmtId="0" fontId="8" fillId="0" borderId="0" xfId="44" applyFont="1" applyAlignment="1">
      <alignment horizontal="center" vertical="center" wrapText="1"/>
    </xf>
    <xf numFmtId="0" fontId="39" fillId="0" borderId="10" xfId="0" applyFont="1" applyBorder="1" applyAlignment="1">
      <alignment horizontal="left" vertical="center" wrapText="1"/>
    </xf>
    <xf numFmtId="0" fontId="30" fillId="0" borderId="0" xfId="0" applyFont="1" applyAlignment="1">
      <alignment horizontal="center" vertical="center"/>
    </xf>
    <xf numFmtId="0" fontId="30" fillId="0" borderId="0" xfId="0" applyFont="1" applyAlignment="1">
      <alignment horizontal="left" vertical="center"/>
    </xf>
    <xf numFmtId="0" fontId="31" fillId="0" borderId="0" xfId="0" applyFont="1" applyAlignment="1">
      <alignment horizontal="left" vertical="center" wrapText="1"/>
    </xf>
    <xf numFmtId="0" fontId="31" fillId="0" borderId="0" xfId="0" applyFont="1" applyAlignment="1">
      <alignment vertical="center"/>
    </xf>
    <xf numFmtId="0" fontId="31" fillId="0" borderId="0" xfId="0" applyFont="1" applyAlignment="1">
      <alignment horizontal="center" vertical="center" wrapText="1"/>
    </xf>
    <xf numFmtId="0" fontId="39" fillId="0" borderId="0" xfId="0" applyFont="1" applyAlignment="1">
      <alignment horizontal="left" vertical="center"/>
    </xf>
    <xf numFmtId="172" fontId="39" fillId="0" borderId="0" xfId="0" applyNumberFormat="1" applyFont="1" applyAlignment="1">
      <alignment horizontal="right" vertical="center"/>
    </xf>
    <xf numFmtId="0" fontId="39" fillId="0" borderId="0" xfId="0" applyFont="1" applyAlignment="1">
      <alignment horizontal="center" vertical="center" wrapText="1"/>
    </xf>
    <xf numFmtId="0" fontId="31" fillId="0" borderId="10" xfId="0" applyFont="1" applyBorder="1" applyAlignment="1">
      <alignment horizontal="left" vertical="center" wrapText="1"/>
    </xf>
    <xf numFmtId="0" fontId="39" fillId="0" borderId="10" xfId="0" applyFont="1" applyBorder="1" applyAlignment="1">
      <alignment horizontal="center" vertical="center" wrapText="1"/>
    </xf>
    <xf numFmtId="1" fontId="39" fillId="0" borderId="10" xfId="0" applyNumberFormat="1" applyFont="1" applyBorder="1" applyAlignment="1">
      <alignment horizontal="center" vertical="center" wrapText="1"/>
    </xf>
    <xf numFmtId="0" fontId="2" fillId="0" borderId="0" xfId="43" applyFont="1" applyAlignment="1" applyProtection="1">
      <alignment vertical="center"/>
      <protection hidden="1"/>
    </xf>
    <xf numFmtId="1" fontId="32" fillId="0" borderId="10" xfId="0" applyNumberFormat="1" applyFont="1" applyBorder="1" applyAlignment="1">
      <alignment horizontal="center" vertical="center" wrapText="1"/>
    </xf>
    <xf numFmtId="1" fontId="30" fillId="0" borderId="10" xfId="0" applyNumberFormat="1" applyFont="1" applyBorder="1" applyAlignment="1">
      <alignment horizontal="center" vertical="center" wrapText="1"/>
    </xf>
    <xf numFmtId="0" fontId="31" fillId="0" borderId="19" xfId="0" applyFont="1" applyBorder="1" applyAlignment="1">
      <alignment vertical="center" wrapText="1"/>
    </xf>
    <xf numFmtId="3" fontId="31" fillId="0" borderId="0" xfId="0" applyNumberFormat="1" applyFont="1" applyAlignment="1">
      <alignment vertical="center"/>
    </xf>
    <xf numFmtId="172" fontId="39" fillId="0" borderId="0" xfId="0" applyNumberFormat="1" applyFont="1" applyAlignment="1">
      <alignment horizontal="center" vertical="center"/>
    </xf>
    <xf numFmtId="172" fontId="39" fillId="0" borderId="0" xfId="0" applyNumberFormat="1" applyFont="1" applyAlignment="1">
      <alignment vertical="center"/>
    </xf>
    <xf numFmtId="0" fontId="33" fillId="0" borderId="18" xfId="0" applyFont="1" applyBorder="1" applyAlignment="1">
      <alignment vertical="center"/>
    </xf>
    <xf numFmtId="0" fontId="31" fillId="0" borderId="0" xfId="0" applyFont="1" applyAlignment="1">
      <alignment vertical="center" wrapText="1"/>
    </xf>
    <xf numFmtId="9" fontId="31" fillId="0" borderId="0" xfId="0" applyNumberFormat="1" applyFont="1" applyAlignment="1">
      <alignment vertical="center"/>
    </xf>
    <xf numFmtId="172" fontId="31" fillId="0" borderId="0" xfId="0" applyNumberFormat="1" applyFont="1" applyAlignment="1">
      <alignment vertical="center"/>
    </xf>
    <xf numFmtId="3" fontId="38" fillId="0" borderId="0" xfId="0" applyNumberFormat="1" applyFont="1" applyAlignment="1">
      <alignment horizontal="right" vertical="center" wrapText="1"/>
    </xf>
    <xf numFmtId="172" fontId="38" fillId="0" borderId="0" xfId="0" applyNumberFormat="1" applyFont="1" applyAlignment="1">
      <alignment horizontal="right" vertical="center" wrapText="1"/>
    </xf>
    <xf numFmtId="3" fontId="38" fillId="0" borderId="0" xfId="0" applyNumberFormat="1" applyFont="1" applyAlignment="1">
      <alignment vertical="center"/>
    </xf>
    <xf numFmtId="172" fontId="38" fillId="0" borderId="0" xfId="0" applyNumberFormat="1" applyFont="1" applyAlignment="1">
      <alignment vertical="center"/>
    </xf>
    <xf numFmtId="0" fontId="31" fillId="0" borderId="10" xfId="0" applyFont="1" applyBorder="1" applyAlignment="1">
      <alignment horizontal="center" vertical="center" wrapText="1"/>
    </xf>
    <xf numFmtId="0" fontId="30" fillId="0" borderId="10" xfId="0" applyFont="1" applyBorder="1" applyAlignment="1">
      <alignment horizontal="center" vertical="center" wrapText="1"/>
    </xf>
    <xf numFmtId="0" fontId="32" fillId="0" borderId="10" xfId="0" applyFont="1" applyBorder="1" applyAlignment="1">
      <alignment horizontal="center" vertical="center" wrapText="1"/>
    </xf>
    <xf numFmtId="0" fontId="31" fillId="0" borderId="19" xfId="0" applyFont="1" applyBorder="1" applyAlignment="1">
      <alignment horizontal="center" vertical="center" wrapText="1"/>
    </xf>
    <xf numFmtId="0" fontId="0" fillId="0" borderId="0" xfId="0" applyAlignment="1">
      <alignment vertical="center"/>
    </xf>
    <xf numFmtId="3" fontId="31" fillId="0" borderId="10" xfId="0" applyNumberFormat="1" applyFont="1" applyBorder="1" applyAlignment="1">
      <alignment horizontal="right" vertical="center"/>
    </xf>
    <xf numFmtId="172" fontId="31" fillId="0" borderId="10" xfId="0" applyNumberFormat="1" applyFont="1" applyBorder="1" applyAlignment="1">
      <alignment horizontal="right" vertical="center"/>
    </xf>
    <xf numFmtId="3" fontId="39" fillId="0" borderId="10" xfId="0" applyNumberFormat="1" applyFont="1" applyBorder="1" applyAlignment="1">
      <alignment vertical="center"/>
    </xf>
    <xf numFmtId="0" fontId="6" fillId="0" borderId="20" xfId="39" applyFont="1" applyBorder="1" applyAlignment="1">
      <alignment horizontal="left" vertical="center" wrapText="1"/>
    </xf>
    <xf numFmtId="0" fontId="6" fillId="0" borderId="20" xfId="39" applyFont="1" applyBorder="1" applyAlignment="1">
      <alignment horizontal="center" vertical="center"/>
    </xf>
    <xf numFmtId="0" fontId="32" fillId="0" borderId="18" xfId="0" applyFont="1" applyBorder="1" applyAlignment="1">
      <alignment horizontal="center" vertical="center" wrapText="1"/>
    </xf>
    <xf numFmtId="172" fontId="31" fillId="0" borderId="19" xfId="0" applyNumberFormat="1" applyFont="1" applyBorder="1" applyAlignment="1">
      <alignment vertical="center"/>
    </xf>
    <xf numFmtId="172" fontId="14" fillId="0" borderId="0" xfId="0" applyNumberFormat="1" applyFont="1" applyAlignment="1">
      <alignment horizontal="right" vertical="center" wrapText="1"/>
    </xf>
    <xf numFmtId="14" fontId="39" fillId="0" borderId="10" xfId="0" applyNumberFormat="1" applyFont="1" applyBorder="1" applyAlignment="1">
      <alignment horizontal="right" vertical="center" wrapText="1"/>
    </xf>
    <xf numFmtId="0" fontId="25" fillId="0" borderId="10" xfId="49" applyFont="1" applyBorder="1" applyAlignment="1">
      <alignment vertical="center"/>
    </xf>
    <xf numFmtId="0" fontId="25" fillId="2" borderId="10" xfId="49" applyFont="1" applyFill="1" applyBorder="1" applyAlignment="1">
      <alignment horizontal="center" vertical="center"/>
    </xf>
    <xf numFmtId="0" fontId="25" fillId="0" borderId="10" xfId="49" applyFont="1" applyBorder="1" applyAlignment="1">
      <alignment horizontal="right" vertical="center"/>
    </xf>
    <xf numFmtId="172" fontId="25" fillId="0" borderId="10" xfId="49" applyNumberFormat="1" applyFont="1" applyBorder="1" applyAlignment="1">
      <alignment vertical="center"/>
    </xf>
    <xf numFmtId="3" fontId="25" fillId="0" borderId="10" xfId="49" applyNumberFormat="1" applyFont="1" applyBorder="1" applyAlignment="1">
      <alignment vertical="center" wrapText="1"/>
    </xf>
    <xf numFmtId="172" fontId="25" fillId="0" borderId="10" xfId="49" applyNumberFormat="1" applyFont="1" applyBorder="1" applyAlignment="1">
      <alignment horizontal="right" vertical="center" wrapText="1"/>
    </xf>
    <xf numFmtId="3" fontId="25" fillId="0" borderId="10" xfId="49" applyNumberFormat="1" applyFont="1" applyBorder="1" applyAlignment="1">
      <alignment vertical="center"/>
    </xf>
    <xf numFmtId="3" fontId="25" fillId="2" borderId="10" xfId="49" applyNumberFormat="1" applyFont="1" applyFill="1" applyBorder="1" applyAlignment="1">
      <alignment vertical="center"/>
    </xf>
    <xf numFmtId="172" fontId="25" fillId="0" borderId="10" xfId="44" applyNumberFormat="1" applyFont="1" applyBorder="1" applyAlignment="1">
      <alignment vertical="center"/>
    </xf>
    <xf numFmtId="172" fontId="25" fillId="0" borderId="10" xfId="65" applyNumberFormat="1" applyFont="1" applyFill="1" applyBorder="1" applyAlignment="1">
      <alignment vertical="center"/>
    </xf>
    <xf numFmtId="0" fontId="25" fillId="0" borderId="10" xfId="44" applyFont="1" applyBorder="1" applyAlignment="1">
      <alignment vertical="center"/>
    </xf>
    <xf numFmtId="0" fontId="25" fillId="0" borderId="10" xfId="43" applyFont="1" applyBorder="1"/>
    <xf numFmtId="0" fontId="25" fillId="0" borderId="10" xfId="38" applyFont="1" applyBorder="1" applyAlignment="1">
      <alignment vertical="center" wrapText="1"/>
    </xf>
    <xf numFmtId="0" fontId="25" fillId="0" borderId="10" xfId="49" applyFont="1" applyBorder="1" applyAlignment="1">
      <alignment horizontal="center" vertical="center" wrapText="1"/>
    </xf>
    <xf numFmtId="0" fontId="25" fillId="0" borderId="10" xfId="49" applyFont="1" applyBorder="1" applyAlignment="1">
      <alignment vertical="center" wrapText="1"/>
    </xf>
    <xf numFmtId="172" fontId="25" fillId="0" borderId="10" xfId="65" applyNumberFormat="1" applyFont="1" applyFill="1" applyBorder="1" applyAlignment="1">
      <alignment horizontal="right" vertical="center"/>
    </xf>
    <xf numFmtId="172" fontId="25" fillId="0" borderId="10" xfId="65" applyNumberFormat="1" applyFont="1" applyFill="1" applyBorder="1" applyAlignment="1">
      <alignment vertical="center" wrapText="1"/>
    </xf>
    <xf numFmtId="14" fontId="25" fillId="0" borderId="10" xfId="44" applyNumberFormat="1" applyFont="1" applyBorder="1" applyAlignment="1">
      <alignment vertical="center"/>
    </xf>
    <xf numFmtId="0" fontId="25" fillId="0" borderId="10" xfId="44" applyFont="1" applyBorder="1" applyAlignment="1">
      <alignment horizontal="justify" vertical="center" wrapText="1"/>
    </xf>
    <xf numFmtId="0" fontId="25" fillId="2" borderId="19" xfId="43" applyFont="1" applyFill="1" applyBorder="1"/>
    <xf numFmtId="0" fontId="25" fillId="0" borderId="19" xfId="38" applyFont="1" applyBorder="1" applyAlignment="1">
      <alignment vertical="center" wrapText="1"/>
    </xf>
    <xf numFmtId="0" fontId="25" fillId="2" borderId="19" xfId="38" applyFont="1" applyFill="1" applyBorder="1" applyAlignment="1">
      <alignment vertical="center" wrapText="1"/>
    </xf>
    <xf numFmtId="0" fontId="25" fillId="0" borderId="19" xfId="49" applyFont="1" applyBorder="1" applyAlignment="1">
      <alignment vertical="center" wrapText="1"/>
    </xf>
    <xf numFmtId="0" fontId="25" fillId="0" borderId="19" xfId="49" applyFont="1" applyBorder="1" applyAlignment="1">
      <alignment vertical="center"/>
    </xf>
    <xf numFmtId="0" fontId="25" fillId="0" borderId="19" xfId="49" applyFont="1" applyBorder="1" applyAlignment="1">
      <alignment horizontal="right" vertical="center"/>
    </xf>
    <xf numFmtId="172" fontId="25" fillId="0" borderId="19" xfId="65" applyNumberFormat="1" applyFont="1" applyFill="1" applyBorder="1" applyAlignment="1">
      <alignment horizontal="right" vertical="center"/>
    </xf>
    <xf numFmtId="3" fontId="25" fillId="0" borderId="19" xfId="49" applyNumberFormat="1" applyFont="1" applyBorder="1" applyAlignment="1">
      <alignment vertical="center" wrapText="1"/>
    </xf>
    <xf numFmtId="172" fontId="25" fillId="0" borderId="19" xfId="65" applyNumberFormat="1" applyFont="1" applyFill="1" applyBorder="1" applyAlignment="1">
      <alignment vertical="center" wrapText="1"/>
    </xf>
    <xf numFmtId="3" fontId="25" fillId="0" borderId="19" xfId="49" applyNumberFormat="1" applyFont="1" applyBorder="1" applyAlignment="1">
      <alignment vertical="center"/>
    </xf>
    <xf numFmtId="172" fontId="25" fillId="0" borderId="19" xfId="44" applyNumberFormat="1" applyFont="1" applyBorder="1" applyAlignment="1">
      <alignment vertical="center"/>
    </xf>
    <xf numFmtId="172" fontId="25" fillId="0" borderId="19" xfId="65" applyNumberFormat="1" applyFont="1" applyFill="1" applyBorder="1" applyAlignment="1">
      <alignment vertical="center"/>
    </xf>
    <xf numFmtId="14" fontId="25" fillId="0" borderId="19" xfId="44" applyNumberFormat="1" applyFont="1" applyBorder="1" applyAlignment="1">
      <alignment vertical="center"/>
    </xf>
    <xf numFmtId="0" fontId="25" fillId="0" borderId="19" xfId="44" applyFont="1" applyBorder="1" applyAlignment="1">
      <alignment horizontal="justify" vertical="center" wrapText="1"/>
    </xf>
    <xf numFmtId="14" fontId="30" fillId="0" borderId="10" xfId="0" applyNumberFormat="1" applyFont="1" applyBorder="1" applyAlignment="1">
      <alignment horizontal="right" vertical="center" wrapText="1"/>
    </xf>
    <xf numFmtId="0" fontId="25" fillId="0" borderId="10" xfId="49" applyFont="1" applyBorder="1" applyAlignment="1">
      <alignment horizontal="left" vertical="center" wrapText="1"/>
    </xf>
    <xf numFmtId="0" fontId="25" fillId="0" borderId="19" xfId="0" applyFont="1" applyBorder="1" applyAlignment="1">
      <alignment horizontal="left" vertical="center" wrapText="1"/>
    </xf>
    <xf numFmtId="0" fontId="37" fillId="0" borderId="0" xfId="0" applyFont="1" applyAlignment="1">
      <alignment horizontal="right" vertical="center"/>
    </xf>
    <xf numFmtId="0" fontId="58" fillId="0" borderId="0" xfId="0" applyFont="1" applyAlignment="1">
      <alignment vertical="center"/>
    </xf>
    <xf numFmtId="0" fontId="36" fillId="0" borderId="10" xfId="0" applyFont="1" applyBorder="1" applyAlignment="1">
      <alignment horizontal="left" vertical="center" wrapText="1"/>
    </xf>
    <xf numFmtId="0" fontId="31" fillId="0" borderId="19" xfId="0" applyFont="1" applyBorder="1" applyAlignment="1">
      <alignment horizontal="left" vertical="center" wrapText="1"/>
    </xf>
    <xf numFmtId="0" fontId="25" fillId="0" borderId="30" xfId="44" applyFont="1" applyBorder="1" applyAlignment="1">
      <alignment vertical="center" wrapText="1"/>
    </xf>
    <xf numFmtId="0" fontId="25" fillId="0" borderId="30" xfId="44" applyFont="1" applyBorder="1" applyAlignment="1">
      <alignment horizontal="left" vertical="center" wrapText="1"/>
    </xf>
    <xf numFmtId="0" fontId="2" fillId="0" borderId="30" xfId="44" applyFont="1" applyBorder="1" applyAlignment="1">
      <alignment horizontal="center" vertical="center"/>
    </xf>
    <xf numFmtId="0" fontId="2" fillId="0" borderId="30" xfId="44" applyFont="1" applyBorder="1" applyAlignment="1">
      <alignment vertical="center" wrapText="1"/>
    </xf>
    <xf numFmtId="0" fontId="2" fillId="0" borderId="30" xfId="44" applyFont="1" applyBorder="1" applyAlignment="1">
      <alignment vertical="center"/>
    </xf>
    <xf numFmtId="0" fontId="8" fillId="0" borderId="30" xfId="44" applyFont="1" applyBorder="1" applyAlignment="1">
      <alignment vertical="center" wrapText="1"/>
    </xf>
    <xf numFmtId="172" fontId="39" fillId="0" borderId="10" xfId="0" applyNumberFormat="1" applyFont="1" applyBorder="1" applyAlignment="1">
      <alignment vertical="center"/>
    </xf>
    <xf numFmtId="0" fontId="2" fillId="0" borderId="30" xfId="44" applyFont="1" applyBorder="1" applyAlignment="1">
      <alignment horizontal="center" vertical="center" wrapText="1"/>
    </xf>
    <xf numFmtId="0" fontId="8" fillId="0" borderId="30" xfId="44" applyFont="1" applyBorder="1" applyAlignment="1">
      <alignment horizontal="center" vertical="center" wrapText="1"/>
    </xf>
    <xf numFmtId="0" fontId="25" fillId="0" borderId="31" xfId="44" applyFont="1" applyBorder="1" applyAlignment="1">
      <alignment horizontal="center" vertical="center" wrapText="1"/>
    </xf>
    <xf numFmtId="0" fontId="25" fillId="0" borderId="30" xfId="44" applyFont="1" applyBorder="1" applyAlignment="1">
      <alignment horizontal="center" vertical="center" wrapText="1"/>
    </xf>
    <xf numFmtId="0" fontId="2" fillId="0" borderId="33" xfId="44" applyFont="1" applyBorder="1" applyAlignment="1">
      <alignment vertical="center"/>
    </xf>
    <xf numFmtId="0" fontId="2" fillId="0" borderId="30" xfId="44" applyFont="1" applyBorder="1" applyAlignment="1">
      <alignment horizontal="right" vertical="center"/>
    </xf>
    <xf numFmtId="9" fontId="25" fillId="0" borderId="30" xfId="79" applyFont="1" applyFill="1" applyBorder="1" applyAlignment="1">
      <alignment vertical="center"/>
    </xf>
    <xf numFmtId="0" fontId="25" fillId="0" borderId="30" xfId="44" applyFont="1" applyBorder="1" applyAlignment="1">
      <alignment horizontal="right" vertical="center" wrapText="1"/>
    </xf>
    <xf numFmtId="9" fontId="25" fillId="0" borderId="30" xfId="79" applyFont="1" applyFill="1" applyBorder="1" applyAlignment="1">
      <alignment vertical="center" wrapText="1"/>
    </xf>
    <xf numFmtId="3" fontId="25" fillId="0" borderId="30" xfId="79" applyNumberFormat="1" applyFont="1" applyFill="1" applyBorder="1" applyAlignment="1">
      <alignment vertical="center" wrapText="1"/>
    </xf>
    <xf numFmtId="172" fontId="25" fillId="0" borderId="30" xfId="79" applyNumberFormat="1" applyFont="1" applyFill="1" applyBorder="1" applyAlignment="1">
      <alignment horizontal="right" vertical="center" wrapText="1"/>
    </xf>
    <xf numFmtId="172" fontId="25" fillId="0" borderId="30" xfId="79" applyNumberFormat="1" applyFont="1" applyFill="1" applyBorder="1" applyAlignment="1">
      <alignment vertical="center"/>
    </xf>
    <xf numFmtId="3" fontId="25" fillId="0" borderId="30" xfId="44" applyNumberFormat="1" applyFont="1" applyBorder="1" applyAlignment="1">
      <alignment vertical="center" wrapText="1"/>
    </xf>
    <xf numFmtId="0" fontId="25" fillId="0" borderId="31" xfId="44" applyFont="1" applyBorder="1" applyAlignment="1">
      <alignment horizontal="left" vertical="center" wrapText="1"/>
    </xf>
    <xf numFmtId="0" fontId="25" fillId="0" borderId="31" xfId="44" applyFont="1" applyBorder="1" applyAlignment="1">
      <alignment horizontal="right" vertical="center" wrapText="1"/>
    </xf>
    <xf numFmtId="9" fontId="25" fillId="0" borderId="31" xfId="79" applyFont="1" applyFill="1" applyBorder="1" applyAlignment="1">
      <alignment vertical="center" wrapText="1"/>
    </xf>
    <xf numFmtId="0" fontId="8" fillId="0" borderId="0" xfId="44" applyFont="1" applyAlignment="1">
      <alignment horizontal="right" vertical="center"/>
    </xf>
    <xf numFmtId="9" fontId="8" fillId="0" borderId="0" xfId="79" applyFont="1" applyFill="1" applyAlignment="1">
      <alignment vertical="center"/>
    </xf>
    <xf numFmtId="3" fontId="13" fillId="0" borderId="0" xfId="44" applyNumberFormat="1" applyFont="1" applyAlignment="1">
      <alignment vertical="center"/>
    </xf>
    <xf numFmtId="1" fontId="31" fillId="0" borderId="10" xfId="0" applyNumberFormat="1" applyFont="1" applyBorder="1" applyAlignment="1">
      <alignment vertical="center" wrapText="1"/>
    </xf>
    <xf numFmtId="0" fontId="36" fillId="0" borderId="10" xfId="0" applyFont="1" applyBorder="1" applyAlignment="1">
      <alignment vertical="center" wrapText="1"/>
    </xf>
    <xf numFmtId="0" fontId="42" fillId="0" borderId="10" xfId="0" applyFont="1" applyBorder="1" applyAlignment="1">
      <alignment horizontal="center" vertical="center" wrapText="1"/>
    </xf>
    <xf numFmtId="0" fontId="60" fillId="0" borderId="10" xfId="0" applyFont="1" applyBorder="1" applyAlignment="1">
      <alignment horizontal="center" vertical="center" wrapText="1"/>
    </xf>
    <xf numFmtId="0" fontId="60" fillId="0" borderId="10" xfId="0" applyFont="1" applyBorder="1" applyAlignment="1">
      <alignment horizontal="left" vertical="center" wrapText="1"/>
    </xf>
    <xf numFmtId="0" fontId="59" fillId="0" borderId="10" xfId="0" applyFont="1" applyBorder="1" applyAlignment="1">
      <alignment horizontal="left" vertical="center" wrapText="1"/>
    </xf>
    <xf numFmtId="172" fontId="59" fillId="0" borderId="10" xfId="0" applyNumberFormat="1" applyFont="1" applyBorder="1" applyAlignment="1">
      <alignment horizontal="right" vertical="center" wrapText="1"/>
    </xf>
    <xf numFmtId="9" fontId="31" fillId="0" borderId="10" xfId="0" applyNumberFormat="1" applyFont="1" applyBorder="1" applyAlignment="1">
      <alignment vertical="center"/>
    </xf>
    <xf numFmtId="3" fontId="31" fillId="0" borderId="10" xfId="0" applyNumberFormat="1" applyFont="1" applyBorder="1" applyAlignment="1">
      <alignment vertical="center" wrapText="1"/>
    </xf>
    <xf numFmtId="177" fontId="31" fillId="0" borderId="10" xfId="0" applyNumberFormat="1" applyFont="1" applyBorder="1" applyAlignment="1">
      <alignment horizontal="right" vertical="center" wrapText="1"/>
    </xf>
    <xf numFmtId="9" fontId="31" fillId="0" borderId="10" xfId="0" applyNumberFormat="1" applyFont="1" applyBorder="1" applyAlignment="1">
      <alignment vertical="center" wrapText="1"/>
    </xf>
    <xf numFmtId="0" fontId="36" fillId="0" borderId="19" xfId="0" applyFont="1" applyBorder="1" applyAlignment="1">
      <alignment vertical="center" wrapText="1"/>
    </xf>
    <xf numFmtId="0" fontId="25" fillId="0" borderId="10" xfId="0" applyFont="1" applyBorder="1" applyAlignment="1">
      <alignment horizontal="left" vertical="center" wrapText="1"/>
    </xf>
    <xf numFmtId="177" fontId="31" fillId="0" borderId="10" xfId="0" applyNumberFormat="1" applyFont="1" applyBorder="1" applyAlignment="1">
      <alignment horizontal="center" vertical="center" wrapText="1"/>
    </xf>
    <xf numFmtId="172" fontId="39" fillId="0" borderId="10" xfId="0" applyNumberFormat="1" applyFont="1" applyBorder="1" applyAlignment="1">
      <alignment horizontal="right" vertical="center" wrapText="1"/>
    </xf>
    <xf numFmtId="172" fontId="31" fillId="0" borderId="10" xfId="0" applyNumberFormat="1" applyFont="1" applyBorder="1" applyAlignment="1">
      <alignment horizontal="right" vertical="center" wrapText="1"/>
    </xf>
    <xf numFmtId="0" fontId="45" fillId="0" borderId="10" xfId="0" applyFont="1" applyBorder="1" applyAlignment="1">
      <alignment horizontal="center" vertical="center" wrapText="1"/>
    </xf>
    <xf numFmtId="172" fontId="39" fillId="0" borderId="10" xfId="0" applyNumberFormat="1" applyFont="1" applyBorder="1" applyAlignment="1">
      <alignment horizontal="right" vertical="center"/>
    </xf>
    <xf numFmtId="0" fontId="55" fillId="0" borderId="10" xfId="0" applyFont="1" applyBorder="1" applyAlignment="1">
      <alignment horizontal="left" vertical="center" wrapText="1"/>
    </xf>
    <xf numFmtId="0" fontId="45" fillId="0" borderId="10" xfId="0" applyFont="1" applyBorder="1" applyAlignment="1">
      <alignment vertical="center"/>
    </xf>
    <xf numFmtId="9" fontId="31" fillId="0" borderId="10" xfId="0" applyNumberFormat="1" applyFont="1" applyBorder="1" applyAlignment="1">
      <alignment horizontal="right" vertical="center" wrapText="1"/>
    </xf>
    <xf numFmtId="9" fontId="32" fillId="0" borderId="10" xfId="0" applyNumberFormat="1" applyFont="1" applyBorder="1" applyAlignment="1">
      <alignment vertical="center" wrapText="1"/>
    </xf>
    <xf numFmtId="0" fontId="56" fillId="0" borderId="10" xfId="0" applyFont="1" applyBorder="1" applyAlignment="1">
      <alignment vertical="center"/>
    </xf>
    <xf numFmtId="0" fontId="42" fillId="0" borderId="10" xfId="0" applyFont="1" applyBorder="1" applyAlignment="1">
      <alignment vertical="center"/>
    </xf>
    <xf numFmtId="0" fontId="36" fillId="0" borderId="10" xfId="43" applyFont="1" applyBorder="1" applyAlignment="1">
      <alignment horizontal="left" vertical="center" wrapText="1"/>
    </xf>
    <xf numFmtId="0" fontId="57" fillId="0" borderId="10" xfId="0" applyFont="1" applyBorder="1" applyAlignment="1">
      <alignment vertical="center"/>
    </xf>
    <xf numFmtId="177" fontId="59" fillId="0" borderId="10" xfId="0" applyNumberFormat="1" applyFont="1" applyBorder="1" applyAlignment="1">
      <alignment horizontal="right" vertical="center" wrapText="1"/>
    </xf>
    <xf numFmtId="0" fontId="60" fillId="0" borderId="10" xfId="0" applyFont="1" applyBorder="1" applyAlignment="1">
      <alignment vertical="center" wrapText="1"/>
    </xf>
    <xf numFmtId="0" fontId="60" fillId="0" borderId="10" xfId="0" applyFont="1" applyBorder="1" applyAlignment="1">
      <alignment horizontal="right" vertical="center" wrapText="1"/>
    </xf>
    <xf numFmtId="3" fontId="60" fillId="0" borderId="10" xfId="0" applyNumberFormat="1" applyFont="1" applyBorder="1" applyAlignment="1">
      <alignment vertical="center" wrapText="1"/>
    </xf>
    <xf numFmtId="0" fontId="60" fillId="0" borderId="10" xfId="0" applyFont="1" applyBorder="1" applyAlignment="1">
      <alignment vertical="center"/>
    </xf>
    <xf numFmtId="0" fontId="62" fillId="0" borderId="10" xfId="0" applyFont="1" applyBorder="1" applyAlignment="1">
      <alignment vertical="center"/>
    </xf>
    <xf numFmtId="0" fontId="60" fillId="0" borderId="10" xfId="0" applyFont="1" applyBorder="1" applyAlignment="1">
      <alignment horizontal="center" vertical="center"/>
    </xf>
    <xf numFmtId="172" fontId="60" fillId="0" borderId="10" xfId="0" applyNumberFormat="1" applyFont="1" applyBorder="1" applyAlignment="1">
      <alignment vertical="center"/>
    </xf>
    <xf numFmtId="172" fontId="60" fillId="0" borderId="10" xfId="0" applyNumberFormat="1" applyFont="1" applyBorder="1" applyAlignment="1">
      <alignment horizontal="right" vertical="center" wrapText="1"/>
    </xf>
    <xf numFmtId="0" fontId="63" fillId="0" borderId="18" xfId="0" applyFont="1" applyBorder="1" applyAlignment="1">
      <alignment vertical="center"/>
    </xf>
    <xf numFmtId="0" fontId="63" fillId="0" borderId="18" xfId="0" applyFont="1" applyBorder="1" applyAlignment="1">
      <alignment horizontal="center" vertical="center"/>
    </xf>
    <xf numFmtId="3" fontId="60" fillId="0" borderId="18" xfId="0" applyNumberFormat="1" applyFont="1" applyBorder="1" applyAlignment="1">
      <alignment vertical="center" wrapText="1"/>
    </xf>
    <xf numFmtId="0" fontId="60" fillId="0" borderId="18" xfId="0" applyFont="1" applyBorder="1" applyAlignment="1">
      <alignment vertical="center"/>
    </xf>
    <xf numFmtId="0" fontId="60" fillId="0" borderId="18" xfId="0" applyFont="1" applyBorder="1" applyAlignment="1">
      <alignment horizontal="center" vertical="center"/>
    </xf>
    <xf numFmtId="0" fontId="63" fillId="0" borderId="10" xfId="0" applyFont="1" applyBorder="1" applyAlignment="1">
      <alignment vertical="center"/>
    </xf>
    <xf numFmtId="0" fontId="63" fillId="0" borderId="10" xfId="0" applyFont="1" applyBorder="1" applyAlignment="1">
      <alignment horizontal="center" vertical="center"/>
    </xf>
    <xf numFmtId="0" fontId="62" fillId="0" borderId="10" xfId="0" applyFont="1" applyBorder="1" applyAlignment="1">
      <alignment horizontal="center" vertical="center" wrapText="1"/>
    </xf>
    <xf numFmtId="177" fontId="60" fillId="0" borderId="10" xfId="0" applyNumberFormat="1" applyFont="1" applyBorder="1" applyAlignment="1">
      <alignment horizontal="right" vertical="center" wrapText="1"/>
    </xf>
    <xf numFmtId="0" fontId="62" fillId="0" borderId="10" xfId="0" applyFont="1" applyBorder="1" applyAlignment="1">
      <alignment horizontal="center" vertical="center"/>
    </xf>
    <xf numFmtId="0" fontId="36" fillId="0" borderId="10" xfId="38" applyFont="1" applyBorder="1" applyAlignment="1">
      <alignment horizontal="left" vertical="center" wrapText="1"/>
    </xf>
    <xf numFmtId="172" fontId="40" fillId="0" borderId="10" xfId="0" applyNumberFormat="1" applyFont="1" applyBorder="1" applyAlignment="1">
      <alignment vertical="center"/>
    </xf>
    <xf numFmtId="3" fontId="25" fillId="0" borderId="10" xfId="0" applyNumberFormat="1" applyFont="1" applyBorder="1" applyAlignment="1">
      <alignment horizontal="center" vertical="center" wrapText="1"/>
    </xf>
    <xf numFmtId="9" fontId="25" fillId="0" borderId="10" xfId="0" applyNumberFormat="1" applyFont="1" applyBorder="1" applyAlignment="1">
      <alignment vertical="center" wrapText="1"/>
    </xf>
    <xf numFmtId="1" fontId="25" fillId="0" borderId="10" xfId="0" applyNumberFormat="1" applyFont="1" applyBorder="1" applyAlignment="1">
      <alignment vertical="center" wrapText="1"/>
    </xf>
    <xf numFmtId="172" fontId="25" fillId="0" borderId="10" xfId="0" applyNumberFormat="1" applyFont="1" applyBorder="1" applyAlignment="1">
      <alignment horizontal="right" vertical="center" wrapText="1"/>
    </xf>
    <xf numFmtId="3" fontId="25" fillId="0" borderId="10" xfId="0" applyNumberFormat="1" applyFont="1" applyBorder="1" applyAlignment="1">
      <alignment horizontal="right" vertical="center"/>
    </xf>
    <xf numFmtId="172" fontId="25" fillId="0" borderId="10" xfId="0" applyNumberFormat="1" applyFont="1" applyBorder="1" applyAlignment="1">
      <alignment vertical="center"/>
    </xf>
    <xf numFmtId="0" fontId="8" fillId="0" borderId="10" xfId="0" applyFont="1" applyBorder="1" applyAlignment="1">
      <alignment vertical="center"/>
    </xf>
    <xf numFmtId="3" fontId="25" fillId="0" borderId="10" xfId="0" applyNumberFormat="1" applyFont="1" applyBorder="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59" fillId="0" borderId="10" xfId="0" applyFont="1" applyBorder="1" applyAlignment="1">
      <alignment vertical="center" wrapText="1"/>
    </xf>
    <xf numFmtId="0" fontId="32" fillId="4" borderId="18" xfId="0" applyFont="1" applyFill="1" applyBorder="1" applyAlignment="1">
      <alignment horizontal="left" vertical="center" wrapText="1"/>
    </xf>
    <xf numFmtId="0" fontId="32" fillId="0" borderId="13" xfId="0" applyFont="1" applyBorder="1" applyAlignment="1">
      <alignment vertical="center"/>
    </xf>
    <xf numFmtId="3" fontId="39" fillId="0" borderId="13" xfId="0" applyNumberFormat="1" applyFont="1" applyBorder="1" applyAlignment="1">
      <alignment vertical="center" wrapText="1"/>
    </xf>
    <xf numFmtId="0" fontId="39" fillId="0" borderId="13" xfId="0" applyFont="1" applyBorder="1" applyAlignment="1">
      <alignment horizontal="left" vertical="center" wrapText="1"/>
    </xf>
    <xf numFmtId="0" fontId="39" fillId="0" borderId="13" xfId="0" applyFont="1" applyBorder="1" applyAlignment="1">
      <alignment vertical="center"/>
    </xf>
    <xf numFmtId="0" fontId="32" fillId="4" borderId="10" xfId="0" applyFont="1" applyFill="1" applyBorder="1" applyAlignment="1">
      <alignment horizontal="left" vertical="center" wrapText="1"/>
    </xf>
    <xf numFmtId="0" fontId="30" fillId="4" borderId="10" xfId="0" applyFont="1" applyFill="1" applyBorder="1" applyAlignment="1">
      <alignment horizontal="left" vertical="center" wrapText="1"/>
    </xf>
    <xf numFmtId="3" fontId="30" fillId="0" borderId="10" xfId="0" applyNumberFormat="1" applyFont="1" applyBorder="1" applyAlignment="1">
      <alignment vertical="center"/>
    </xf>
    <xf numFmtId="0" fontId="39" fillId="4" borderId="10" xfId="0" applyFont="1" applyFill="1" applyBorder="1" applyAlignment="1">
      <alignment horizontal="center" vertical="center"/>
    </xf>
    <xf numFmtId="172" fontId="39" fillId="0" borderId="10" xfId="0" applyNumberFormat="1" applyFont="1" applyBorder="1" applyAlignment="1">
      <alignment horizontal="center" vertical="center"/>
    </xf>
    <xf numFmtId="9" fontId="8" fillId="0" borderId="30" xfId="79" applyFont="1" applyFill="1" applyBorder="1" applyAlignment="1">
      <alignment horizontal="center" vertical="center"/>
    </xf>
    <xf numFmtId="0" fontId="8" fillId="0" borderId="30" xfId="0" applyFont="1" applyBorder="1" applyAlignment="1">
      <alignment horizontal="left" vertical="center"/>
    </xf>
    <xf numFmtId="0" fontId="8" fillId="0" borderId="30" xfId="0" applyFont="1" applyBorder="1" applyAlignment="1">
      <alignment horizontal="center" vertical="center"/>
    </xf>
    <xf numFmtId="3" fontId="8" fillId="0" borderId="30" xfId="49" applyNumberFormat="1" applyFont="1" applyBorder="1" applyAlignment="1">
      <alignment vertical="center" wrapText="1"/>
    </xf>
    <xf numFmtId="0" fontId="8" fillId="0" borderId="30" xfId="49" applyFont="1" applyBorder="1" applyAlignment="1">
      <alignment horizontal="left" vertical="center" wrapText="1"/>
    </xf>
    <xf numFmtId="3" fontId="8" fillId="0" borderId="30" xfId="0" applyNumberFormat="1" applyFont="1" applyBorder="1" applyAlignment="1">
      <alignment vertical="center"/>
    </xf>
    <xf numFmtId="0" fontId="8" fillId="0" borderId="30" xfId="49" applyFont="1" applyBorder="1" applyAlignment="1">
      <alignment vertical="center"/>
    </xf>
    <xf numFmtId="0" fontId="31" fillId="4" borderId="34" xfId="0" applyFont="1" applyFill="1" applyBorder="1" applyAlignment="1">
      <alignment horizontal="center" vertical="center"/>
    </xf>
    <xf numFmtId="0" fontId="2" fillId="0" borderId="30" xfId="45" applyFont="1" applyBorder="1" applyAlignment="1">
      <alignment horizontal="center" vertical="center"/>
    </xf>
    <xf numFmtId="0" fontId="25" fillId="0" borderId="30" xfId="0" applyFont="1" applyBorder="1" applyAlignment="1">
      <alignment horizontal="left" vertical="center" wrapText="1"/>
    </xf>
    <xf numFmtId="3" fontId="25" fillId="0" borderId="30" xfId="0" applyNumberFormat="1" applyFont="1" applyBorder="1" applyAlignment="1">
      <alignment vertical="center"/>
    </xf>
    <xf numFmtId="172" fontId="25" fillId="0" borderId="30" xfId="0" applyNumberFormat="1" applyFont="1" applyBorder="1" applyAlignment="1">
      <alignment vertical="center"/>
    </xf>
    <xf numFmtId="172" fontId="25" fillId="0" borderId="33" xfId="0" applyNumberFormat="1" applyFont="1" applyBorder="1" applyAlignment="1">
      <alignment vertical="center"/>
    </xf>
    <xf numFmtId="0" fontId="2" fillId="0" borderId="35" xfId="44" applyFont="1" applyBorder="1" applyAlignment="1">
      <alignment vertical="center"/>
    </xf>
    <xf numFmtId="0" fontId="25" fillId="4" borderId="5" xfId="0" applyFont="1" applyFill="1" applyBorder="1" applyAlignment="1">
      <alignment horizontal="center" vertical="center"/>
    </xf>
    <xf numFmtId="172" fontId="8" fillId="0" borderId="30" xfId="79" applyNumberFormat="1" applyFont="1" applyFill="1" applyBorder="1" applyAlignment="1">
      <alignment horizontal="center" vertical="center"/>
    </xf>
    <xf numFmtId="1" fontId="25" fillId="0" borderId="30" xfId="0" applyNumberFormat="1" applyFont="1" applyBorder="1" applyAlignment="1">
      <alignment vertical="center"/>
    </xf>
    <xf numFmtId="14" fontId="25" fillId="0" borderId="4" xfId="44" applyNumberFormat="1" applyFont="1" applyBorder="1" applyAlignment="1">
      <alignment vertical="center"/>
    </xf>
    <xf numFmtId="0" fontId="25" fillId="0" borderId="30" xfId="0" applyFont="1" applyBorder="1" applyAlignment="1">
      <alignment horizontal="center" vertical="center"/>
    </xf>
    <xf numFmtId="172" fontId="25" fillId="0" borderId="5" xfId="0" applyNumberFormat="1" applyFont="1" applyBorder="1" applyAlignment="1">
      <alignment vertical="center"/>
    </xf>
    <xf numFmtId="0" fontId="25" fillId="4" borderId="30" xfId="0" applyFont="1" applyFill="1" applyBorder="1" applyAlignment="1">
      <alignment horizontal="center" vertical="center"/>
    </xf>
    <xf numFmtId="10" fontId="25" fillId="0" borderId="4" xfId="45" applyNumberFormat="1" applyFont="1" applyBorder="1" applyAlignment="1">
      <alignment horizontal="center" vertical="center"/>
    </xf>
    <xf numFmtId="3" fontId="25" fillId="0" borderId="5" xfId="0" applyNumberFormat="1" applyFont="1" applyBorder="1" applyAlignment="1">
      <alignment vertical="center"/>
    </xf>
    <xf numFmtId="0" fontId="2" fillId="0" borderId="30" xfId="49" applyFont="1" applyBorder="1" applyAlignment="1">
      <alignment horizontal="center" vertical="center"/>
    </xf>
    <xf numFmtId="0" fontId="2" fillId="0" borderId="30" xfId="49" applyFont="1" applyBorder="1" applyAlignment="1">
      <alignment vertical="center"/>
    </xf>
    <xf numFmtId="3" fontId="2" fillId="0" borderId="30" xfId="49" applyNumberFormat="1" applyFont="1" applyBorder="1" applyAlignment="1">
      <alignment vertical="center" wrapText="1"/>
    </xf>
    <xf numFmtId="9" fontId="8" fillId="0" borderId="30" xfId="45" applyNumberFormat="1" applyFont="1" applyBorder="1" applyAlignment="1">
      <alignment horizontal="center" vertical="center"/>
    </xf>
    <xf numFmtId="0" fontId="31" fillId="4" borderId="10" xfId="0" applyFont="1" applyFill="1" applyBorder="1" applyAlignment="1">
      <alignment horizontal="center" vertical="center"/>
    </xf>
    <xf numFmtId="0" fontId="2" fillId="0" borderId="36" xfId="45" applyFont="1" applyBorder="1" applyAlignment="1">
      <alignment horizontal="center" vertical="center"/>
    </xf>
    <xf numFmtId="172" fontId="25" fillId="0" borderId="36" xfId="79" applyNumberFormat="1" applyFont="1" applyFill="1" applyBorder="1" applyAlignment="1">
      <alignment horizontal="center" vertical="center"/>
    </xf>
    <xf numFmtId="172" fontId="25" fillId="0" borderId="30" xfId="79" applyNumberFormat="1" applyFont="1" applyFill="1" applyBorder="1" applyAlignment="1">
      <alignment vertical="center" wrapText="1"/>
    </xf>
    <xf numFmtId="0" fontId="31" fillId="0" borderId="19" xfId="0" applyFont="1" applyBorder="1" applyAlignment="1">
      <alignment horizontal="center" vertical="center"/>
    </xf>
    <xf numFmtId="9" fontId="25" fillId="0" borderId="38" xfId="43" applyNumberFormat="1" applyFont="1" applyBorder="1" applyAlignment="1">
      <alignment horizontal="center" vertical="center"/>
    </xf>
    <xf numFmtId="0" fontId="25" fillId="0" borderId="39" xfId="0" applyFont="1" applyBorder="1" applyAlignment="1">
      <alignment horizontal="left" vertical="center" wrapText="1"/>
    </xf>
    <xf numFmtId="3" fontId="25" fillId="0" borderId="39" xfId="0" applyNumberFormat="1" applyFont="1" applyBorder="1" applyAlignment="1">
      <alignment vertical="center"/>
    </xf>
    <xf numFmtId="172" fontId="25" fillId="0" borderId="39" xfId="0" applyNumberFormat="1" applyFont="1" applyBorder="1" applyAlignment="1">
      <alignment vertical="center"/>
    </xf>
    <xf numFmtId="172" fontId="25" fillId="0" borderId="39" xfId="79" applyNumberFormat="1" applyFont="1" applyFill="1" applyBorder="1" applyAlignment="1">
      <alignment vertical="center" wrapText="1"/>
    </xf>
    <xf numFmtId="172" fontId="25" fillId="0" borderId="39" xfId="79" applyNumberFormat="1" applyFont="1" applyFill="1" applyBorder="1" applyAlignment="1">
      <alignment vertical="center"/>
    </xf>
    <xf numFmtId="0" fontId="3" fillId="0" borderId="0" xfId="0" applyFont="1" applyAlignment="1">
      <alignment vertical="center"/>
    </xf>
    <xf numFmtId="0" fontId="25" fillId="4" borderId="0" xfId="0" applyFont="1" applyFill="1" applyAlignment="1">
      <alignment horizontal="center" vertical="center"/>
    </xf>
    <xf numFmtId="0" fontId="25" fillId="0" borderId="0" xfId="0" applyFont="1" applyAlignment="1">
      <alignment horizontal="center" vertical="center" wrapText="1"/>
    </xf>
    <xf numFmtId="0" fontId="8" fillId="0" borderId="0" xfId="0" applyFont="1" applyAlignment="1">
      <alignment vertical="center"/>
    </xf>
    <xf numFmtId="0" fontId="8" fillId="4" borderId="0" xfId="0" applyFont="1" applyFill="1" applyAlignment="1">
      <alignment vertical="center"/>
    </xf>
    <xf numFmtId="172" fontId="25" fillId="0" borderId="0" xfId="79" applyNumberFormat="1" applyFont="1" applyFill="1" applyBorder="1" applyAlignment="1">
      <alignment vertical="center"/>
    </xf>
    <xf numFmtId="0" fontId="31" fillId="0" borderId="30" xfId="44" applyFont="1" applyBorder="1" applyAlignment="1">
      <alignment vertical="center" wrapText="1"/>
    </xf>
    <xf numFmtId="0" fontId="67" fillId="0" borderId="0" xfId="43" applyFont="1" applyAlignment="1">
      <alignment vertical="center"/>
    </xf>
    <xf numFmtId="0" fontId="25" fillId="0" borderId="0" xfId="0" applyFont="1" applyAlignment="1">
      <alignment horizontal="left" vertical="center" wrapText="1"/>
    </xf>
    <xf numFmtId="3" fontId="25" fillId="0" borderId="0" xfId="0" applyNumberFormat="1" applyFont="1" applyAlignment="1">
      <alignment vertical="center"/>
    </xf>
    <xf numFmtId="0" fontId="31" fillId="0" borderId="0" xfId="44" applyFont="1" applyAlignment="1">
      <alignment vertical="center" wrapText="1"/>
    </xf>
    <xf numFmtId="172" fontId="25" fillId="0" borderId="0" xfId="43" applyNumberFormat="1" applyFont="1" applyAlignment="1">
      <alignment horizontal="center" vertical="center"/>
    </xf>
    <xf numFmtId="0" fontId="59" fillId="0" borderId="10" xfId="0" applyFont="1" applyBorder="1" applyAlignment="1">
      <alignment horizontal="center" vertical="center"/>
    </xf>
    <xf numFmtId="0" fontId="59" fillId="0" borderId="10" xfId="0" applyFont="1" applyBorder="1" applyAlignment="1">
      <alignment horizontal="center" vertical="center" wrapText="1"/>
    </xf>
    <xf numFmtId="0" fontId="8" fillId="0" borderId="30" xfId="0" applyFont="1" applyBorder="1" applyAlignment="1">
      <alignment vertical="center"/>
    </xf>
    <xf numFmtId="0" fontId="8" fillId="0" borderId="30" xfId="0" applyFont="1" applyBorder="1" applyAlignment="1">
      <alignment vertical="center" wrapText="1"/>
    </xf>
    <xf numFmtId="1" fontId="8" fillId="0" borderId="30" xfId="0" applyNumberFormat="1" applyFont="1" applyBorder="1" applyAlignment="1">
      <alignment horizontal="center" vertical="center" wrapText="1"/>
    </xf>
    <xf numFmtId="0" fontId="25" fillId="0" borderId="30" xfId="0" applyFont="1" applyBorder="1" applyAlignment="1">
      <alignment vertical="center" wrapText="1"/>
    </xf>
    <xf numFmtId="0" fontId="25" fillId="0" borderId="30" xfId="0" applyFont="1" applyBorder="1" applyAlignment="1">
      <alignment vertical="center"/>
    </xf>
    <xf numFmtId="3" fontId="25" fillId="0" borderId="30" xfId="0" applyNumberFormat="1" applyFont="1" applyBorder="1" applyAlignment="1">
      <alignment vertical="center" wrapText="1"/>
    </xf>
    <xf numFmtId="0" fontId="25" fillId="0" borderId="30" xfId="0" applyFont="1" applyBorder="1" applyAlignment="1">
      <alignment horizontal="left" vertical="center"/>
    </xf>
    <xf numFmtId="0" fontId="25" fillId="0" borderId="30" xfId="49" applyFont="1" applyBorder="1" applyAlignment="1">
      <alignment vertical="center" wrapText="1"/>
    </xf>
    <xf numFmtId="1" fontId="8" fillId="0" borderId="30" xfId="0" applyNumberFormat="1" applyFont="1" applyBorder="1" applyAlignment="1">
      <alignment horizontal="center" vertical="center"/>
    </xf>
    <xf numFmtId="1" fontId="25" fillId="0" borderId="30" xfId="0" applyNumberFormat="1" applyFont="1" applyBorder="1" applyAlignment="1">
      <alignment horizontal="center" vertical="center"/>
    </xf>
    <xf numFmtId="10" fontId="25" fillId="0" borderId="30" xfId="0" applyNumberFormat="1" applyFont="1" applyBorder="1" applyAlignment="1">
      <alignment vertical="center"/>
    </xf>
    <xf numFmtId="0" fontId="67" fillId="0" borderId="30" xfId="0" applyFont="1" applyBorder="1" applyAlignment="1">
      <alignment horizontal="center" vertical="center"/>
    </xf>
    <xf numFmtId="0" fontId="67" fillId="0" borderId="30" xfId="0" applyFont="1" applyBorder="1" applyAlignment="1">
      <alignment vertical="center"/>
    </xf>
    <xf numFmtId="0" fontId="2" fillId="0" borderId="30" xfId="0" applyFont="1" applyBorder="1" applyAlignment="1">
      <alignment horizontal="center" vertical="center"/>
    </xf>
    <xf numFmtId="0" fontId="2" fillId="0" borderId="30" xfId="0" applyFont="1" applyBorder="1" applyAlignment="1">
      <alignment vertical="center"/>
    </xf>
    <xf numFmtId="0" fontId="25" fillId="0" borderId="31" xfId="0" applyFont="1" applyBorder="1" applyAlignment="1">
      <alignment horizontal="center" vertical="center"/>
    </xf>
    <xf numFmtId="0" fontId="25" fillId="0" borderId="31" xfId="0" applyFont="1" applyBorder="1" applyAlignment="1">
      <alignment vertical="center" wrapText="1"/>
    </xf>
    <xf numFmtId="3" fontId="25" fillId="0" borderId="31" xfId="0" applyNumberFormat="1" applyFont="1" applyBorder="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wrapText="1"/>
    </xf>
    <xf numFmtId="0" fontId="25" fillId="0" borderId="30" xfId="49" applyFont="1" applyBorder="1" applyAlignment="1">
      <alignment horizontal="right" vertical="center"/>
    </xf>
    <xf numFmtId="0" fontId="25" fillId="0" borderId="30" xfId="44" applyFont="1" applyBorder="1" applyAlignment="1">
      <alignment vertical="center"/>
    </xf>
    <xf numFmtId="3" fontId="25" fillId="0" borderId="30" xfId="49" applyNumberFormat="1" applyFont="1" applyBorder="1" applyAlignment="1">
      <alignment horizontal="center" vertical="center"/>
    </xf>
    <xf numFmtId="0" fontId="25" fillId="0" borderId="30" xfId="44" applyFont="1" applyBorder="1" applyAlignment="1">
      <alignment horizontal="center" vertical="center"/>
    </xf>
    <xf numFmtId="3" fontId="25" fillId="0" borderId="30" xfId="44" applyNumberFormat="1" applyFont="1" applyBorder="1" applyAlignment="1">
      <alignment horizontal="center" vertical="center"/>
    </xf>
    <xf numFmtId="3" fontId="25" fillId="0" borderId="30" xfId="44" applyNumberFormat="1" applyFont="1" applyBorder="1" applyAlignment="1">
      <alignment vertical="center"/>
    </xf>
    <xf numFmtId="172" fontId="25" fillId="0" borderId="30" xfId="44" applyNumberFormat="1" applyFont="1" applyBorder="1" applyAlignment="1">
      <alignment vertical="center"/>
    </xf>
    <xf numFmtId="14" fontId="25" fillId="0" borderId="30" xfId="44" applyNumberFormat="1" applyFont="1" applyBorder="1" applyAlignment="1">
      <alignment vertical="center"/>
    </xf>
    <xf numFmtId="0" fontId="25" fillId="0" borderId="30" xfId="49" applyFont="1" applyBorder="1" applyAlignment="1">
      <alignment horizontal="center" vertical="center"/>
    </xf>
    <xf numFmtId="0" fontId="2" fillId="0" borderId="30" xfId="49" applyFont="1" applyBorder="1" applyAlignment="1">
      <alignment vertical="center" wrapText="1"/>
    </xf>
    <xf numFmtId="9" fontId="25" fillId="0" borderId="30" xfId="44" applyNumberFormat="1" applyFont="1" applyBorder="1" applyAlignment="1">
      <alignment vertical="center"/>
    </xf>
    <xf numFmtId="0" fontId="25" fillId="0" borderId="30" xfId="49" applyFont="1" applyBorder="1" applyAlignment="1">
      <alignment horizontal="center" vertical="center" wrapText="1"/>
    </xf>
    <xf numFmtId="0" fontId="8" fillId="0" borderId="30" xfId="49" applyFont="1" applyBorder="1" applyAlignment="1">
      <alignment vertical="center" wrapText="1"/>
    </xf>
    <xf numFmtId="0" fontId="25" fillId="0" borderId="30" xfId="49" applyFont="1" applyBorder="1" applyAlignment="1">
      <alignment vertical="center"/>
    </xf>
    <xf numFmtId="0" fontId="25" fillId="0" borderId="31" xfId="44" applyFont="1" applyBorder="1" applyAlignment="1">
      <alignment vertical="center" wrapText="1"/>
    </xf>
    <xf numFmtId="3" fontId="25" fillId="0" borderId="0" xfId="44" applyNumberFormat="1" applyFont="1" applyAlignment="1">
      <alignment vertical="center"/>
    </xf>
    <xf numFmtId="0" fontId="79" fillId="8" borderId="0" xfId="0" applyFont="1" applyFill="1" applyAlignment="1">
      <alignment horizontal="center" vertical="center"/>
    </xf>
    <xf numFmtId="0" fontId="79" fillId="8" borderId="0" xfId="0" applyFont="1" applyFill="1" applyAlignment="1">
      <alignment vertical="center"/>
    </xf>
    <xf numFmtId="0" fontId="79" fillId="8" borderId="0" xfId="0" applyFont="1" applyFill="1" applyAlignment="1">
      <alignment horizontal="left" vertical="center"/>
    </xf>
    <xf numFmtId="0" fontId="79" fillId="8" borderId="0" xfId="0" applyFont="1" applyFill="1" applyAlignment="1">
      <alignment horizontal="right" vertical="center"/>
    </xf>
    <xf numFmtId="0" fontId="79" fillId="8" borderId="0" xfId="0" applyFont="1" applyFill="1" applyAlignment="1">
      <alignment vertical="center" wrapText="1"/>
    </xf>
    <xf numFmtId="0" fontId="80" fillId="8" borderId="0" xfId="0" applyFont="1" applyFill="1" applyAlignment="1">
      <alignment vertical="center"/>
    </xf>
    <xf numFmtId="0" fontId="80" fillId="8" borderId="0" xfId="0" applyFont="1" applyFill="1" applyAlignment="1">
      <alignment horizontal="center" vertical="center"/>
    </xf>
    <xf numFmtId="0" fontId="80" fillId="8" borderId="0" xfId="0" applyFont="1" applyFill="1" applyAlignment="1">
      <alignment horizontal="left" vertical="center"/>
    </xf>
    <xf numFmtId="0" fontId="80" fillId="8" borderId="0" xfId="0" applyFont="1" applyFill="1" applyAlignment="1">
      <alignment horizontal="right" vertical="center"/>
    </xf>
    <xf numFmtId="172" fontId="80" fillId="8" borderId="0" xfId="0" applyNumberFormat="1" applyFont="1" applyFill="1" applyAlignment="1">
      <alignment horizontal="center" vertical="center"/>
    </xf>
    <xf numFmtId="3" fontId="80" fillId="8" borderId="0" xfId="0" applyNumberFormat="1" applyFont="1" applyFill="1" applyAlignment="1">
      <alignment horizontal="right" vertical="center"/>
    </xf>
    <xf numFmtId="172" fontId="60" fillId="8" borderId="0" xfId="0" applyNumberFormat="1" applyFont="1" applyFill="1" applyAlignment="1">
      <alignment horizontal="right" vertical="center"/>
    </xf>
    <xf numFmtId="1" fontId="80" fillId="8" borderId="0" xfId="0" applyNumberFormat="1" applyFont="1" applyFill="1" applyAlignment="1">
      <alignment horizontal="center" vertical="center"/>
    </xf>
    <xf numFmtId="0" fontId="61" fillId="8" borderId="0" xfId="0" applyFont="1" applyFill="1" applyAlignment="1">
      <alignment vertical="center"/>
    </xf>
    <xf numFmtId="0" fontId="63" fillId="8" borderId="10" xfId="0" applyFont="1" applyFill="1" applyBorder="1" applyAlignment="1">
      <alignment vertical="center"/>
    </xf>
    <xf numFmtId="0" fontId="63" fillId="8" borderId="10" xfId="0" applyFont="1" applyFill="1" applyBorder="1" applyAlignment="1">
      <alignment horizontal="center" vertical="center"/>
    </xf>
    <xf numFmtId="0" fontId="63" fillId="8" borderId="10" xfId="0" applyFont="1" applyFill="1" applyBorder="1" applyAlignment="1">
      <alignment horizontal="left" vertical="center"/>
    </xf>
    <xf numFmtId="0" fontId="63" fillId="8" borderId="10" xfId="0" applyFont="1" applyFill="1" applyBorder="1" applyAlignment="1">
      <alignment horizontal="center" vertical="center" wrapText="1"/>
    </xf>
    <xf numFmtId="0" fontId="63" fillId="8" borderId="10" xfId="0" applyFont="1" applyFill="1" applyBorder="1" applyAlignment="1">
      <alignment horizontal="right" vertical="center"/>
    </xf>
    <xf numFmtId="10" fontId="63" fillId="8" borderId="10" xfId="0" applyNumberFormat="1" applyFont="1" applyFill="1" applyBorder="1" applyAlignment="1">
      <alignment horizontal="right" vertical="center"/>
    </xf>
    <xf numFmtId="3" fontId="63" fillId="8" borderId="10" xfId="0" applyNumberFormat="1" applyFont="1" applyFill="1" applyBorder="1" applyAlignment="1">
      <alignment horizontal="center" vertical="center" wrapText="1"/>
    </xf>
    <xf numFmtId="0" fontId="63" fillId="8" borderId="10" xfId="0" applyFont="1" applyFill="1" applyBorder="1" applyAlignment="1">
      <alignment horizontal="left" vertical="center" wrapText="1"/>
    </xf>
    <xf numFmtId="10" fontId="63" fillId="8" borderId="10" xfId="0" applyNumberFormat="1" applyFont="1" applyFill="1" applyBorder="1" applyAlignment="1">
      <alignment vertical="center"/>
    </xf>
    <xf numFmtId="0" fontId="60" fillId="8" borderId="10" xfId="0" applyFont="1" applyFill="1" applyBorder="1" applyAlignment="1">
      <alignment vertical="center"/>
    </xf>
    <xf numFmtId="0" fontId="62" fillId="8" borderId="10" xfId="0" applyFont="1" applyFill="1" applyBorder="1" applyAlignment="1">
      <alignment vertical="center"/>
    </xf>
    <xf numFmtId="0" fontId="62" fillId="8" borderId="10" xfId="0" applyFont="1" applyFill="1" applyBorder="1" applyAlignment="1">
      <alignment horizontal="center" vertical="center"/>
    </xf>
    <xf numFmtId="0" fontId="62" fillId="8" borderId="10" xfId="0" applyFont="1" applyFill="1" applyBorder="1" applyAlignment="1">
      <alignment horizontal="left" vertical="center"/>
    </xf>
    <xf numFmtId="0" fontId="62" fillId="8" borderId="10" xfId="0" applyFont="1" applyFill="1" applyBorder="1" applyAlignment="1">
      <alignment horizontal="center" vertical="center" wrapText="1"/>
    </xf>
    <xf numFmtId="0" fontId="62" fillId="8" borderId="10" xfId="0" applyFont="1" applyFill="1" applyBorder="1" applyAlignment="1">
      <alignment horizontal="right" vertical="center"/>
    </xf>
    <xf numFmtId="10" fontId="62" fillId="8" borderId="10" xfId="0" applyNumberFormat="1" applyFont="1" applyFill="1" applyBorder="1" applyAlignment="1">
      <alignment horizontal="right" vertical="center"/>
    </xf>
    <xf numFmtId="3" fontId="62" fillId="8" borderId="10" xfId="0" applyNumberFormat="1" applyFont="1" applyFill="1" applyBorder="1" applyAlignment="1">
      <alignment horizontal="center" vertical="center" wrapText="1"/>
    </xf>
    <xf numFmtId="0" fontId="62" fillId="8" borderId="10" xfId="0" applyFont="1" applyFill="1" applyBorder="1" applyAlignment="1">
      <alignment horizontal="left" vertical="center" wrapText="1"/>
    </xf>
    <xf numFmtId="10" fontId="62" fillId="8" borderId="10" xfId="0" applyNumberFormat="1" applyFont="1" applyFill="1" applyBorder="1" applyAlignment="1">
      <alignment vertical="center"/>
    </xf>
    <xf numFmtId="0" fontId="60" fillId="8" borderId="10" xfId="0" applyFont="1" applyFill="1" applyBorder="1" applyAlignment="1">
      <alignment horizontal="center" vertical="center"/>
    </xf>
    <xf numFmtId="0" fontId="60" fillId="8" borderId="10" xfId="0" applyFont="1" applyFill="1" applyBorder="1" applyAlignment="1">
      <alignment horizontal="left" vertical="center" wrapText="1"/>
    </xf>
    <xf numFmtId="0" fontId="60" fillId="8" borderId="10" xfId="0" applyFont="1" applyFill="1" applyBorder="1" applyAlignment="1">
      <alignment vertical="center" wrapText="1"/>
    </xf>
    <xf numFmtId="0" fontId="60" fillId="8" borderId="10" xfId="0" applyFont="1" applyFill="1" applyBorder="1" applyAlignment="1">
      <alignment horizontal="center" vertical="center" wrapText="1"/>
    </xf>
    <xf numFmtId="0" fontId="60" fillId="0" borderId="10" xfId="0" applyFont="1" applyBorder="1" applyAlignment="1">
      <alignment horizontal="right" vertical="center"/>
    </xf>
    <xf numFmtId="10" fontId="60" fillId="0" borderId="10" xfId="0" applyNumberFormat="1" applyFont="1" applyBorder="1" applyAlignment="1">
      <alignment horizontal="right" vertical="center"/>
    </xf>
    <xf numFmtId="10" fontId="60" fillId="0" borderId="10" xfId="0" applyNumberFormat="1" applyFont="1" applyBorder="1" applyAlignment="1">
      <alignment vertical="center"/>
    </xf>
    <xf numFmtId="0" fontId="59" fillId="8" borderId="10" xfId="0" applyFont="1" applyFill="1" applyBorder="1" applyAlignment="1">
      <alignment horizontal="center" vertical="center" wrapText="1"/>
    </xf>
    <xf numFmtId="0" fontId="59" fillId="8" borderId="10" xfId="0" applyFont="1" applyFill="1" applyBorder="1" applyAlignment="1">
      <alignment horizontal="center" vertical="center"/>
    </xf>
    <xf numFmtId="3" fontId="59" fillId="8" borderId="10" xfId="0" applyNumberFormat="1" applyFont="1" applyFill="1" applyBorder="1" applyAlignment="1">
      <alignment horizontal="center" vertical="center"/>
    </xf>
    <xf numFmtId="0" fontId="59" fillId="8" borderId="10" xfId="0" applyFont="1" applyFill="1" applyBorder="1" applyAlignment="1">
      <alignment vertical="center" wrapText="1"/>
    </xf>
    <xf numFmtId="3" fontId="59" fillId="0" borderId="10" xfId="0" applyNumberFormat="1" applyFont="1" applyBorder="1" applyAlignment="1">
      <alignment horizontal="right" vertical="center" wrapText="1"/>
    </xf>
    <xf numFmtId="1" fontId="59" fillId="0" borderId="10" xfId="0" applyNumberFormat="1" applyFont="1" applyBorder="1" applyAlignment="1">
      <alignment vertical="center"/>
    </xf>
    <xf numFmtId="3" fontId="59" fillId="0" borderId="10" xfId="0" applyNumberFormat="1" applyFont="1" applyBorder="1" applyAlignment="1">
      <alignment vertical="center" wrapText="1"/>
    </xf>
    <xf numFmtId="184" fontId="59" fillId="0" borderId="10" xfId="0" applyNumberFormat="1" applyFont="1" applyBorder="1" applyAlignment="1">
      <alignment vertical="center"/>
    </xf>
    <xf numFmtId="177" fontId="59" fillId="0" borderId="10" xfId="0" applyNumberFormat="1" applyFont="1" applyBorder="1" applyAlignment="1">
      <alignment vertical="center"/>
    </xf>
    <xf numFmtId="0" fontId="59" fillId="0" borderId="10" xfId="0" applyFont="1" applyBorder="1" applyAlignment="1">
      <alignment vertical="center"/>
    </xf>
    <xf numFmtId="3" fontId="59" fillId="8" borderId="10" xfId="0" applyNumberFormat="1" applyFont="1" applyFill="1" applyBorder="1" applyAlignment="1">
      <alignment horizontal="center" vertical="center" wrapText="1"/>
    </xf>
    <xf numFmtId="0" fontId="59" fillId="0" borderId="10" xfId="0" applyFont="1" applyBorder="1" applyAlignment="1">
      <alignment horizontal="right" vertical="center" wrapText="1"/>
    </xf>
    <xf numFmtId="177" fontId="59" fillId="0" borderId="10" xfId="0" applyNumberFormat="1" applyFont="1" applyBorder="1" applyAlignment="1">
      <alignment horizontal="right" vertical="center"/>
    </xf>
    <xf numFmtId="172" fontId="59" fillId="0" borderId="10" xfId="0" applyNumberFormat="1" applyFont="1" applyBorder="1" applyAlignment="1">
      <alignment horizontal="center" vertical="center"/>
    </xf>
    <xf numFmtId="3" fontId="59" fillId="0" borderId="10" xfId="0" applyNumberFormat="1" applyFont="1" applyBorder="1" applyAlignment="1">
      <alignment horizontal="center" vertical="center" wrapText="1"/>
    </xf>
    <xf numFmtId="0" fontId="59" fillId="0" borderId="10" xfId="0" applyFont="1" applyBorder="1" applyAlignment="1">
      <alignment horizontal="right" vertical="center"/>
    </xf>
    <xf numFmtId="0" fontId="59" fillId="8" borderId="10" xfId="0" applyFont="1" applyFill="1" applyBorder="1" applyAlignment="1">
      <alignment vertical="center"/>
    </xf>
    <xf numFmtId="1" fontId="60" fillId="8" borderId="10" xfId="0" applyNumberFormat="1" applyFont="1" applyFill="1" applyBorder="1" applyAlignment="1">
      <alignment horizontal="center" vertical="center"/>
    </xf>
    <xf numFmtId="1" fontId="60" fillId="8" borderId="10" xfId="0" applyNumberFormat="1" applyFont="1" applyFill="1" applyBorder="1" applyAlignment="1">
      <alignment horizontal="center" vertical="center" wrapText="1"/>
    </xf>
    <xf numFmtId="9" fontId="59" fillId="8" borderId="10" xfId="0" applyNumberFormat="1" applyFont="1" applyFill="1" applyBorder="1" applyAlignment="1">
      <alignment horizontal="center" vertical="center" wrapText="1"/>
    </xf>
    <xf numFmtId="9" fontId="59" fillId="0" borderId="10" xfId="0" applyNumberFormat="1" applyFont="1" applyBorder="1" applyAlignment="1">
      <alignment horizontal="right" vertical="center" wrapText="1"/>
    </xf>
    <xf numFmtId="9" fontId="59" fillId="0" borderId="10" xfId="0" applyNumberFormat="1" applyFont="1" applyBorder="1" applyAlignment="1">
      <alignment horizontal="right" vertical="center"/>
    </xf>
    <xf numFmtId="0" fontId="62" fillId="0" borderId="10" xfId="0" applyFont="1" applyBorder="1" applyAlignment="1">
      <alignment horizontal="right" vertical="center"/>
    </xf>
    <xf numFmtId="10" fontId="62" fillId="0" borderId="10" xfId="0" applyNumberFormat="1" applyFont="1" applyBorder="1" applyAlignment="1">
      <alignment horizontal="right" vertical="center"/>
    </xf>
    <xf numFmtId="172" fontId="62" fillId="0" borderId="10" xfId="0" applyNumberFormat="1" applyFont="1" applyBorder="1" applyAlignment="1">
      <alignment vertical="center" wrapText="1"/>
    </xf>
    <xf numFmtId="172" fontId="62" fillId="0" borderId="10" xfId="0" applyNumberFormat="1" applyFont="1" applyBorder="1" applyAlignment="1">
      <alignment horizontal="center" vertical="center" wrapText="1"/>
    </xf>
    <xf numFmtId="0" fontId="62" fillId="0" borderId="10" xfId="0" applyFont="1" applyBorder="1" applyAlignment="1">
      <alignment vertical="center" wrapText="1"/>
    </xf>
    <xf numFmtId="0" fontId="76" fillId="8" borderId="10" xfId="0" applyFont="1" applyFill="1" applyBorder="1" applyAlignment="1">
      <alignment vertical="center"/>
    </xf>
    <xf numFmtId="0" fontId="77" fillId="8" borderId="10" xfId="0" applyFont="1" applyFill="1" applyBorder="1" applyAlignment="1">
      <alignment horizontal="center" vertical="center"/>
    </xf>
    <xf numFmtId="3" fontId="77" fillId="8" borderId="10" xfId="0" applyNumberFormat="1" applyFont="1" applyFill="1" applyBorder="1" applyAlignment="1">
      <alignment horizontal="center" vertical="center" wrapText="1"/>
    </xf>
    <xf numFmtId="0" fontId="77" fillId="0" borderId="10" xfId="0" applyFont="1" applyBorder="1" applyAlignment="1">
      <alignment horizontal="right" vertical="center"/>
    </xf>
    <xf numFmtId="10" fontId="77" fillId="0" borderId="10" xfId="0" applyNumberFormat="1" applyFont="1" applyBorder="1" applyAlignment="1">
      <alignment horizontal="right" vertical="center"/>
    </xf>
    <xf numFmtId="172" fontId="77" fillId="0" borderId="10" xfId="0" applyNumberFormat="1" applyFont="1" applyBorder="1" applyAlignment="1">
      <alignment horizontal="left" vertical="center"/>
    </xf>
    <xf numFmtId="172" fontId="77" fillId="0" borderId="10" xfId="0" applyNumberFormat="1" applyFont="1" applyBorder="1" applyAlignment="1">
      <alignment horizontal="center" vertical="center"/>
    </xf>
    <xf numFmtId="0" fontId="77" fillId="0" borderId="10" xfId="0" applyFont="1" applyBorder="1" applyAlignment="1">
      <alignment vertical="center"/>
    </xf>
    <xf numFmtId="177" fontId="77" fillId="0" borderId="10" xfId="0" applyNumberFormat="1" applyFont="1" applyBorder="1" applyAlignment="1">
      <alignment horizontal="center" vertical="center"/>
    </xf>
    <xf numFmtId="10" fontId="59" fillId="0" borderId="10" xfId="0" applyNumberFormat="1" applyFont="1" applyBorder="1" applyAlignment="1">
      <alignment horizontal="right" vertical="center" wrapText="1"/>
    </xf>
    <xf numFmtId="3" fontId="59" fillId="0" borderId="10" xfId="0" applyNumberFormat="1" applyFont="1" applyBorder="1" applyAlignment="1">
      <alignment vertical="center"/>
    </xf>
    <xf numFmtId="0" fontId="75" fillId="0" borderId="10" xfId="0" applyFont="1" applyBorder="1" applyAlignment="1">
      <alignment horizontal="left" vertical="center" wrapText="1"/>
    </xf>
    <xf numFmtId="3" fontId="60" fillId="8" borderId="10" xfId="0" applyNumberFormat="1" applyFont="1" applyFill="1" applyBorder="1" applyAlignment="1">
      <alignment horizontal="center" vertical="center" wrapText="1"/>
    </xf>
    <xf numFmtId="10" fontId="60" fillId="0" borderId="10" xfId="0" applyNumberFormat="1" applyFont="1" applyBorder="1" applyAlignment="1">
      <alignment horizontal="right" vertical="center" wrapText="1"/>
    </xf>
    <xf numFmtId="172" fontId="60" fillId="0" borderId="10" xfId="0" applyNumberFormat="1" applyFont="1" applyBorder="1" applyAlignment="1">
      <alignment horizontal="center" vertical="center"/>
    </xf>
    <xf numFmtId="3" fontId="60" fillId="0" borderId="10" xfId="0" applyNumberFormat="1" applyFont="1" applyBorder="1" applyAlignment="1">
      <alignment vertical="center"/>
    </xf>
    <xf numFmtId="177" fontId="60" fillId="0" borderId="10" xfId="0" applyNumberFormat="1" applyFont="1" applyBorder="1" applyAlignment="1">
      <alignment horizontal="center" vertical="center"/>
    </xf>
    <xf numFmtId="172" fontId="59" fillId="0" borderId="10" xfId="0" applyNumberFormat="1" applyFont="1" applyBorder="1" applyAlignment="1">
      <alignment horizontal="center" vertical="center" wrapText="1"/>
    </xf>
    <xf numFmtId="177" fontId="59" fillId="0" borderId="10" xfId="0" applyNumberFormat="1" applyFont="1" applyBorder="1" applyAlignment="1">
      <alignment horizontal="center" vertical="center"/>
    </xf>
    <xf numFmtId="0" fontId="78" fillId="8" borderId="10" xfId="0" applyFont="1" applyFill="1" applyBorder="1" applyAlignment="1">
      <alignment vertical="center" wrapText="1"/>
    </xf>
    <xf numFmtId="1" fontId="78" fillId="8" borderId="10" xfId="0" applyNumberFormat="1" applyFont="1" applyFill="1" applyBorder="1" applyAlignment="1">
      <alignment horizontal="center" vertical="center" wrapText="1"/>
    </xf>
    <xf numFmtId="0" fontId="78" fillId="8" borderId="10" xfId="0" applyFont="1" applyFill="1" applyBorder="1" applyAlignment="1">
      <alignment horizontal="center" vertical="center" wrapText="1"/>
    </xf>
    <xf numFmtId="9" fontId="60" fillId="8" borderId="10" xfId="0" applyNumberFormat="1" applyFont="1" applyFill="1" applyBorder="1" applyAlignment="1">
      <alignment horizontal="center" vertical="center" wrapText="1"/>
    </xf>
    <xf numFmtId="0" fontId="78" fillId="0" borderId="10" xfId="0" applyFont="1" applyBorder="1" applyAlignment="1">
      <alignment horizontal="right" vertical="center" wrapText="1"/>
    </xf>
    <xf numFmtId="10" fontId="78" fillId="0" borderId="10" xfId="0" applyNumberFormat="1" applyFont="1" applyBorder="1" applyAlignment="1">
      <alignment horizontal="right" vertical="center" wrapText="1"/>
    </xf>
    <xf numFmtId="3" fontId="78" fillId="0" borderId="10" xfId="0" applyNumberFormat="1" applyFont="1" applyBorder="1" applyAlignment="1">
      <alignment vertical="center" wrapText="1"/>
    </xf>
    <xf numFmtId="0" fontId="78" fillId="0" borderId="10" xfId="0" applyFont="1" applyBorder="1" applyAlignment="1">
      <alignment vertical="center" wrapText="1"/>
    </xf>
    <xf numFmtId="3" fontId="60" fillId="0" borderId="10" xfId="0" applyNumberFormat="1" applyFont="1" applyBorder="1" applyAlignment="1">
      <alignment horizontal="right" vertical="center" wrapText="1"/>
    </xf>
    <xf numFmtId="3" fontId="59" fillId="0" borderId="10" xfId="0" applyNumberFormat="1" applyFont="1" applyBorder="1" applyAlignment="1">
      <alignment horizontal="right" vertical="center"/>
    </xf>
    <xf numFmtId="0" fontId="79" fillId="8" borderId="10" xfId="0" applyFont="1" applyFill="1" applyBorder="1" applyAlignment="1">
      <alignment horizontal="center" vertical="center"/>
    </xf>
    <xf numFmtId="0" fontId="79" fillId="8" borderId="10" xfId="0" applyFont="1" applyFill="1" applyBorder="1" applyAlignment="1">
      <alignment vertical="center"/>
    </xf>
    <xf numFmtId="3" fontId="59" fillId="0" borderId="10" xfId="0" applyNumberFormat="1" applyFont="1" applyBorder="1" applyAlignment="1">
      <alignment horizontal="center" vertical="center"/>
    </xf>
    <xf numFmtId="167" fontId="77" fillId="0" borderId="10" xfId="0" applyNumberFormat="1" applyFont="1" applyBorder="1" applyAlignment="1">
      <alignment horizontal="center" vertical="center"/>
    </xf>
    <xf numFmtId="0" fontId="79" fillId="0" borderId="10" xfId="0" applyFont="1" applyBorder="1" applyAlignment="1">
      <alignment vertical="center"/>
    </xf>
    <xf numFmtId="0" fontId="80" fillId="0" borderId="0" xfId="0" applyFont="1" applyAlignment="1">
      <alignment vertical="center"/>
    </xf>
    <xf numFmtId="9" fontId="36" fillId="0" borderId="10" xfId="0" applyNumberFormat="1" applyFont="1" applyBorder="1" applyAlignment="1">
      <alignment horizontal="center" vertical="center"/>
    </xf>
    <xf numFmtId="0" fontId="25" fillId="0" borderId="0" xfId="43" applyFont="1" applyAlignment="1">
      <alignment vertical="center"/>
    </xf>
    <xf numFmtId="0" fontId="36" fillId="0" borderId="10" xfId="0" applyFont="1" applyBorder="1" applyAlignment="1">
      <alignment vertical="center"/>
    </xf>
    <xf numFmtId="172" fontId="59" fillId="0" borderId="10" xfId="0" applyNumberFormat="1" applyFont="1" applyBorder="1" applyAlignment="1">
      <alignment vertical="center"/>
    </xf>
    <xf numFmtId="172" fontId="60" fillId="0" borderId="10" xfId="0" applyNumberFormat="1" applyFont="1" applyBorder="1" applyAlignment="1">
      <alignment horizontal="left" vertical="center" wrapText="1"/>
    </xf>
    <xf numFmtId="172" fontId="60" fillId="0" borderId="10" xfId="0" applyNumberFormat="1" applyFont="1" applyBorder="1" applyAlignment="1">
      <alignment vertical="center" wrapText="1"/>
    </xf>
    <xf numFmtId="172" fontId="59" fillId="0" borderId="10" xfId="0" applyNumberFormat="1" applyFont="1" applyBorder="1" applyAlignment="1">
      <alignment vertical="center" wrapText="1"/>
    </xf>
    <xf numFmtId="0" fontId="61" fillId="0" borderId="0" xfId="0" applyFont="1" applyAlignment="1">
      <alignment vertical="center"/>
    </xf>
    <xf numFmtId="0" fontId="61" fillId="8" borderId="0" xfId="0" applyFont="1" applyFill="1" applyAlignment="1">
      <alignment horizontal="right" vertical="center"/>
    </xf>
    <xf numFmtId="10" fontId="61" fillId="8" borderId="0" xfId="0" applyNumberFormat="1" applyFont="1" applyFill="1" applyAlignment="1">
      <alignment vertical="center"/>
    </xf>
    <xf numFmtId="0" fontId="60" fillId="8" borderId="0" xfId="0" applyFont="1" applyFill="1" applyAlignment="1">
      <alignment vertical="center"/>
    </xf>
    <xf numFmtId="0" fontId="25" fillId="0" borderId="30" xfId="39" applyFont="1" applyBorder="1" applyAlignment="1">
      <alignment horizontal="center" vertical="center" wrapText="1"/>
    </xf>
    <xf numFmtId="0" fontId="25" fillId="0" borderId="30" xfId="39" applyFont="1" applyBorder="1" applyAlignment="1">
      <alignment horizontal="left" vertical="center" wrapText="1"/>
    </xf>
    <xf numFmtId="0" fontId="25" fillId="0" borderId="30" xfId="49" applyFont="1" applyBorder="1" applyAlignment="1">
      <alignment horizontal="right" vertical="center" wrapText="1"/>
    </xf>
    <xf numFmtId="9" fontId="25" fillId="0" borderId="30" xfId="79" applyFont="1" applyFill="1" applyBorder="1" applyAlignment="1">
      <alignment horizontal="right" vertical="center" wrapText="1"/>
    </xf>
    <xf numFmtId="3" fontId="25" fillId="0" borderId="30" xfId="49" applyNumberFormat="1" applyFont="1" applyBorder="1" applyAlignment="1">
      <alignment vertical="center" wrapText="1"/>
    </xf>
    <xf numFmtId="0" fontId="25" fillId="0" borderId="30" xfId="49" applyFont="1" applyBorder="1" applyAlignment="1">
      <alignment horizontal="left" vertical="center" wrapText="1"/>
    </xf>
    <xf numFmtId="9" fontId="25" fillId="0" borderId="30" xfId="79" applyFont="1" applyFill="1" applyBorder="1" applyAlignment="1">
      <alignment horizontal="right" vertical="center"/>
    </xf>
    <xf numFmtId="1" fontId="25" fillId="0" borderId="30" xfId="43" quotePrefix="1" applyNumberFormat="1" applyFont="1" applyBorder="1" applyAlignment="1">
      <alignment horizontal="center" vertical="center" wrapText="1"/>
    </xf>
    <xf numFmtId="0" fontId="25" fillId="0" borderId="30" xfId="44" applyFont="1" applyBorder="1" applyAlignment="1">
      <alignment horizontal="right" vertical="center"/>
    </xf>
    <xf numFmtId="0" fontId="8" fillId="0" borderId="30" xfId="44" applyFont="1" applyBorder="1" applyAlignment="1">
      <alignment horizontal="left" vertical="center" wrapText="1"/>
    </xf>
    <xf numFmtId="1" fontId="25" fillId="0" borderId="30" xfId="44" applyNumberFormat="1" applyFont="1" applyBorder="1" applyAlignment="1">
      <alignment horizontal="center" vertical="center" wrapText="1"/>
    </xf>
    <xf numFmtId="3" fontId="25" fillId="0" borderId="30" xfId="44" applyNumberFormat="1" applyFont="1" applyBorder="1" applyAlignment="1">
      <alignment horizontal="center" vertical="center" wrapText="1"/>
    </xf>
    <xf numFmtId="0" fontId="67" fillId="0" borderId="30" xfId="44" applyFont="1" applyBorder="1" applyAlignment="1">
      <alignment horizontal="center" vertical="center" wrapText="1"/>
    </xf>
    <xf numFmtId="0" fontId="67" fillId="0" borderId="30" xfId="44" applyFont="1" applyBorder="1" applyAlignment="1">
      <alignment vertical="center" wrapText="1"/>
    </xf>
    <xf numFmtId="9" fontId="25" fillId="0" borderId="30" xfId="44" applyNumberFormat="1" applyFont="1" applyBorder="1" applyAlignment="1">
      <alignment horizontal="center" vertical="center" wrapText="1"/>
    </xf>
    <xf numFmtId="185" fontId="25" fillId="0" borderId="30" xfId="44" applyNumberFormat="1" applyFont="1" applyBorder="1" applyAlignment="1">
      <alignment horizontal="center" vertical="center" wrapText="1"/>
    </xf>
    <xf numFmtId="3" fontId="31" fillId="0" borderId="0" xfId="0" applyNumberFormat="1" applyFont="1" applyAlignment="1">
      <alignment vertical="center" wrapText="1"/>
    </xf>
    <xf numFmtId="14" fontId="31" fillId="0" borderId="0" xfId="0" applyNumberFormat="1" applyFont="1" applyAlignment="1">
      <alignment vertical="center" wrapText="1"/>
    </xf>
    <xf numFmtId="0" fontId="32" fillId="0" borderId="30" xfId="0" applyFont="1" applyBorder="1" applyAlignment="1">
      <alignment horizontal="center" vertical="center" wrapText="1"/>
    </xf>
    <xf numFmtId="0" fontId="32" fillId="0" borderId="30" xfId="0" applyFont="1" applyBorder="1" applyAlignment="1">
      <alignment horizontal="left" vertical="center" wrapText="1"/>
    </xf>
    <xf numFmtId="0" fontId="32" fillId="0" borderId="30" xfId="0" applyFont="1" applyBorder="1" applyAlignment="1">
      <alignment vertical="center" wrapText="1"/>
    </xf>
    <xf numFmtId="0" fontId="39" fillId="0" borderId="30" xfId="0" applyFont="1" applyBorder="1" applyAlignment="1">
      <alignment horizontal="left" vertical="center" wrapText="1"/>
    </xf>
    <xf numFmtId="0" fontId="39" fillId="0" borderId="30" xfId="0" applyFont="1" applyBorder="1" applyAlignment="1">
      <alignment vertical="center" wrapText="1"/>
    </xf>
    <xf numFmtId="1" fontId="31" fillId="0" borderId="30" xfId="0" applyNumberFormat="1" applyFont="1" applyBorder="1" applyAlignment="1">
      <alignment horizontal="center" vertical="center" wrapText="1"/>
    </xf>
    <xf numFmtId="3" fontId="31" fillId="0" borderId="30" xfId="0" applyNumberFormat="1" applyFont="1" applyBorder="1" applyAlignment="1">
      <alignment vertical="center" wrapText="1"/>
    </xf>
    <xf numFmtId="14" fontId="31" fillId="0" borderId="30" xfId="0" applyNumberFormat="1" applyFont="1" applyBorder="1" applyAlignment="1">
      <alignment vertical="center" wrapText="1"/>
    </xf>
    <xf numFmtId="0" fontId="31" fillId="0" borderId="30" xfId="0" applyFont="1" applyBorder="1" applyAlignment="1">
      <alignment vertical="center" wrapText="1"/>
    </xf>
    <xf numFmtId="0" fontId="31" fillId="0" borderId="30" xfId="0" applyFont="1" applyBorder="1" applyAlignment="1">
      <alignment horizontal="center" vertical="center" wrapText="1"/>
    </xf>
    <xf numFmtId="9" fontId="31" fillId="0" borderId="30" xfId="0" applyNumberFormat="1" applyFont="1" applyBorder="1" applyAlignment="1">
      <alignment vertical="center" wrapText="1"/>
    </xf>
    <xf numFmtId="0" fontId="30" fillId="0" borderId="30" xfId="0" applyFont="1" applyBorder="1" applyAlignment="1">
      <alignment vertical="center" wrapText="1"/>
    </xf>
    <xf numFmtId="0" fontId="30" fillId="0" borderId="30" xfId="0" applyFont="1" applyBorder="1" applyAlignment="1">
      <alignment horizontal="center" vertical="center" wrapText="1"/>
    </xf>
    <xf numFmtId="0" fontId="30" fillId="0" borderId="30" xfId="0" applyFont="1" applyBorder="1" applyAlignment="1">
      <alignment horizontal="left" vertical="center" wrapText="1"/>
    </xf>
    <xf numFmtId="0" fontId="31" fillId="0" borderId="30" xfId="0" applyFont="1" applyBorder="1" applyAlignment="1">
      <alignment horizontal="left" vertical="center" wrapText="1"/>
    </xf>
    <xf numFmtId="0" fontId="31" fillId="0" borderId="30" xfId="0" applyFont="1" applyBorder="1" applyAlignment="1">
      <alignment horizontal="center" vertical="center"/>
    </xf>
    <xf numFmtId="0" fontId="31" fillId="0" borderId="30" xfId="0" applyFont="1" applyBorder="1" applyAlignment="1">
      <alignment vertical="center"/>
    </xf>
    <xf numFmtId="185" fontId="25" fillId="0" borderId="31" xfId="44" applyNumberFormat="1" applyFont="1" applyBorder="1" applyAlignment="1">
      <alignment horizontal="center" vertical="center" wrapText="1"/>
    </xf>
    <xf numFmtId="0" fontId="31" fillId="0" borderId="31" xfId="0" applyFont="1" applyBorder="1" applyAlignment="1">
      <alignment vertical="center" wrapText="1"/>
    </xf>
    <xf numFmtId="3" fontId="31" fillId="0" borderId="31" xfId="0" applyNumberFormat="1" applyFont="1" applyBorder="1" applyAlignment="1">
      <alignment vertical="center" wrapText="1"/>
    </xf>
    <xf numFmtId="177" fontId="31" fillId="0" borderId="10" xfId="0" applyNumberFormat="1" applyFont="1" applyBorder="1" applyAlignment="1">
      <alignment vertical="center"/>
    </xf>
    <xf numFmtId="0" fontId="62" fillId="0" borderId="0" xfId="0" applyFont="1" applyAlignment="1">
      <alignment horizontal="center" vertical="center"/>
    </xf>
    <xf numFmtId="0" fontId="62" fillId="0" borderId="0" xfId="0" applyFont="1" applyAlignment="1">
      <alignment vertical="center"/>
    </xf>
    <xf numFmtId="0" fontId="87" fillId="0" borderId="30" xfId="0" applyFont="1" applyBorder="1" applyAlignment="1">
      <alignment horizontal="center" vertical="center"/>
    </xf>
    <xf numFmtId="0" fontId="87" fillId="0" borderId="30" xfId="0" applyFont="1" applyBorder="1" applyAlignment="1">
      <alignment vertical="center"/>
    </xf>
    <xf numFmtId="0" fontId="67" fillId="0" borderId="30" xfId="0" applyFont="1" applyBorder="1" applyAlignment="1">
      <alignment horizontal="left" vertical="center"/>
    </xf>
    <xf numFmtId="3" fontId="32" fillId="0" borderId="30" xfId="0" applyNumberFormat="1" applyFont="1" applyBorder="1" applyAlignment="1">
      <alignment vertical="center"/>
    </xf>
    <xf numFmtId="0" fontId="32" fillId="0" borderId="30" xfId="0" applyFont="1" applyBorder="1" applyAlignment="1">
      <alignment vertical="center"/>
    </xf>
    <xf numFmtId="0" fontId="81" fillId="0" borderId="30" xfId="0" applyFont="1" applyBorder="1" applyAlignment="1">
      <alignment horizontal="center" vertical="center"/>
    </xf>
    <xf numFmtId="0" fontId="81" fillId="0" borderId="30" xfId="0" applyFont="1" applyBorder="1" applyAlignment="1">
      <alignment vertical="center"/>
    </xf>
    <xf numFmtId="0" fontId="2" fillId="0" borderId="30" xfId="0" applyFont="1" applyBorder="1" applyAlignment="1">
      <alignment horizontal="left" vertical="center"/>
    </xf>
    <xf numFmtId="3" fontId="30" fillId="0" borderId="30" xfId="0" applyNumberFormat="1" applyFont="1" applyBorder="1" applyAlignment="1">
      <alignment vertical="center"/>
    </xf>
    <xf numFmtId="0" fontId="30" fillId="0" borderId="30" xfId="0" applyFont="1" applyBorder="1" applyAlignment="1">
      <alignment vertical="center"/>
    </xf>
    <xf numFmtId="0" fontId="37" fillId="0" borderId="30" xfId="0" applyFont="1" applyBorder="1" applyAlignment="1">
      <alignment vertical="center"/>
    </xf>
    <xf numFmtId="3" fontId="39" fillId="0" borderId="30" xfId="0" applyNumberFormat="1" applyFont="1" applyBorder="1" applyAlignment="1">
      <alignment vertical="center"/>
    </xf>
    <xf numFmtId="0" fontId="39" fillId="0" borderId="30" xfId="0" applyFont="1" applyBorder="1" applyAlignment="1">
      <alignment vertical="center"/>
    </xf>
    <xf numFmtId="2" fontId="25" fillId="0" borderId="30" xfId="0" applyNumberFormat="1" applyFont="1" applyBorder="1" applyAlignment="1">
      <alignment horizontal="center" vertical="center"/>
    </xf>
    <xf numFmtId="9" fontId="25" fillId="0" borderId="30" xfId="0" applyNumberFormat="1" applyFont="1" applyBorder="1" applyAlignment="1">
      <alignment horizontal="right" vertical="center"/>
    </xf>
    <xf numFmtId="9" fontId="31" fillId="0" borderId="30" xfId="0" applyNumberFormat="1" applyFont="1" applyBorder="1" applyAlignment="1">
      <alignment vertical="center"/>
    </xf>
    <xf numFmtId="3" fontId="25" fillId="0" borderId="30" xfId="0" applyNumberFormat="1" applyFont="1" applyBorder="1" applyAlignment="1">
      <alignment horizontal="right" vertical="center"/>
    </xf>
    <xf numFmtId="10" fontId="31" fillId="0" borderId="30" xfId="0" applyNumberFormat="1" applyFont="1" applyBorder="1" applyAlignment="1">
      <alignment vertical="center"/>
    </xf>
    <xf numFmtId="177" fontId="25" fillId="0" borderId="30" xfId="0" applyNumberFormat="1" applyFont="1" applyBorder="1" applyAlignment="1">
      <alignment horizontal="right" vertical="center"/>
    </xf>
    <xf numFmtId="0" fontId="25" fillId="0" borderId="30" xfId="0" applyFont="1" applyBorder="1" applyAlignment="1">
      <alignment horizontal="justify" vertical="center" wrapText="1"/>
    </xf>
    <xf numFmtId="175" fontId="25" fillId="0" borderId="30" xfId="0" applyNumberFormat="1" applyFont="1" applyBorder="1" applyAlignment="1">
      <alignment horizontal="center" vertical="center"/>
    </xf>
    <xf numFmtId="2" fontId="25" fillId="0" borderId="30" xfId="0" applyNumberFormat="1" applyFont="1" applyBorder="1" applyAlignment="1">
      <alignment vertical="center"/>
    </xf>
    <xf numFmtId="49" fontId="25" fillId="0" borderId="31" xfId="44" applyNumberFormat="1" applyFont="1" applyBorder="1" applyAlignment="1">
      <alignment vertical="center"/>
    </xf>
    <xf numFmtId="175" fontId="25" fillId="0" borderId="31" xfId="0" applyNumberFormat="1" applyFont="1" applyBorder="1" applyAlignment="1">
      <alignment horizontal="center" vertical="center"/>
    </xf>
    <xf numFmtId="9" fontId="25" fillId="0" borderId="31" xfId="0" applyNumberFormat="1" applyFont="1" applyBorder="1" applyAlignment="1">
      <alignment horizontal="right" vertical="center"/>
    </xf>
    <xf numFmtId="1" fontId="25" fillId="0" borderId="31" xfId="0" applyNumberFormat="1" applyFont="1" applyBorder="1" applyAlignment="1">
      <alignment vertical="center"/>
    </xf>
    <xf numFmtId="0" fontId="2" fillId="0" borderId="0" xfId="0" applyFont="1" applyAlignment="1">
      <alignment horizontal="right" vertical="center"/>
    </xf>
    <xf numFmtId="3" fontId="30" fillId="0" borderId="0" xfId="0" applyNumberFormat="1" applyFont="1" applyAlignment="1">
      <alignment vertical="center"/>
    </xf>
    <xf numFmtId="9" fontId="8" fillId="0" borderId="0" xfId="0" applyNumberFormat="1" applyFont="1" applyAlignment="1">
      <alignment horizontal="right" vertical="center"/>
    </xf>
    <xf numFmtId="0" fontId="8" fillId="0" borderId="0" xfId="0" applyFont="1" applyAlignment="1">
      <alignment horizontal="right" vertical="center"/>
    </xf>
    <xf numFmtId="9" fontId="8" fillId="0" borderId="0" xfId="0" applyNumberFormat="1" applyFont="1" applyAlignment="1">
      <alignment horizontal="center" vertical="center"/>
    </xf>
    <xf numFmtId="172" fontId="8" fillId="0" borderId="0" xfId="44" applyNumberFormat="1" applyFont="1" applyAlignment="1">
      <alignment horizontal="right" vertical="center"/>
    </xf>
    <xf numFmtId="1" fontId="70" fillId="0" borderId="0" xfId="0" applyNumberFormat="1" applyFont="1" applyAlignment="1">
      <alignment horizontal="center" vertical="center"/>
    </xf>
    <xf numFmtId="3" fontId="31" fillId="0" borderId="30" xfId="0" applyNumberFormat="1" applyFont="1" applyBorder="1" applyAlignment="1">
      <alignment horizontal="right" vertical="center" wrapText="1"/>
    </xf>
    <xf numFmtId="9" fontId="31" fillId="0" borderId="30" xfId="0" applyNumberFormat="1" applyFont="1" applyBorder="1" applyAlignment="1">
      <alignment horizontal="right" vertical="center" wrapText="1"/>
    </xf>
    <xf numFmtId="172" fontId="31" fillId="0" borderId="30" xfId="0" applyNumberFormat="1" applyFont="1" applyBorder="1" applyAlignment="1">
      <alignment horizontal="right" vertical="center" wrapText="1"/>
    </xf>
    <xf numFmtId="3" fontId="31" fillId="0" borderId="30" xfId="0" applyNumberFormat="1" applyFont="1" applyBorder="1" applyAlignment="1">
      <alignment horizontal="center" vertical="center" wrapText="1"/>
    </xf>
    <xf numFmtId="1" fontId="39" fillId="0" borderId="0" xfId="0" applyNumberFormat="1" applyFont="1" applyAlignment="1">
      <alignment horizontal="center" vertical="center"/>
    </xf>
    <xf numFmtId="9" fontId="39" fillId="0" borderId="0" xfId="0" applyNumberFormat="1" applyFont="1" applyAlignment="1">
      <alignment vertical="center"/>
    </xf>
    <xf numFmtId="0" fontId="39" fillId="6" borderId="0" xfId="0" applyFont="1" applyFill="1" applyAlignment="1">
      <alignment horizontal="left" vertical="center"/>
    </xf>
    <xf numFmtId="0" fontId="39" fillId="6" borderId="0" xfId="0" applyFont="1" applyFill="1" applyAlignment="1">
      <alignment vertical="center"/>
    </xf>
    <xf numFmtId="0" fontId="34" fillId="0" borderId="41" xfId="0" applyFont="1" applyBorder="1" applyAlignment="1">
      <alignment horizontal="center" vertical="center"/>
    </xf>
    <xf numFmtId="0" fontId="35" fillId="0" borderId="41" xfId="0" applyFont="1" applyBorder="1" applyAlignment="1">
      <alignment horizontal="left" vertical="center"/>
    </xf>
    <xf numFmtId="0" fontId="34" fillId="0" borderId="41" xfId="0" applyFont="1" applyBorder="1" applyAlignment="1">
      <alignment horizontal="center" vertical="center" wrapText="1"/>
    </xf>
    <xf numFmtId="0" fontId="91" fillId="0" borderId="41" xfId="0" applyFont="1" applyBorder="1" applyAlignment="1">
      <alignment horizontal="center" vertical="center"/>
    </xf>
    <xf numFmtId="0" fontId="91" fillId="0" borderId="41" xfId="0" applyFont="1" applyBorder="1" applyAlignment="1">
      <alignment horizontal="left" vertical="center"/>
    </xf>
    <xf numFmtId="3" fontId="91" fillId="0" borderId="41" xfId="0" applyNumberFormat="1" applyFont="1" applyBorder="1" applyAlignment="1">
      <alignment horizontal="center" vertical="center" wrapText="1"/>
    </xf>
    <xf numFmtId="172" fontId="91" fillId="0" borderId="41" xfId="0" applyNumberFormat="1" applyFont="1" applyBorder="1" applyAlignment="1">
      <alignment horizontal="center" vertical="center" wrapText="1"/>
    </xf>
    <xf numFmtId="3" fontId="34" fillId="0" borderId="41" xfId="0" applyNumberFormat="1" applyFont="1" applyBorder="1" applyAlignment="1">
      <alignment horizontal="center" vertical="center" wrapText="1"/>
    </xf>
    <xf numFmtId="0" fontId="67" fillId="0" borderId="41" xfId="0" applyFont="1" applyBorder="1" applyAlignment="1">
      <alignment vertical="center"/>
    </xf>
    <xf numFmtId="0" fontId="69" fillId="0" borderId="0" xfId="0" applyFont="1" applyAlignment="1">
      <alignment horizontal="center" vertical="center"/>
    </xf>
    <xf numFmtId="0" fontId="69" fillId="0" borderId="0" xfId="0" applyFont="1" applyAlignment="1">
      <alignment vertical="center"/>
    </xf>
    <xf numFmtId="0" fontId="71" fillId="0" borderId="0" xfId="0" applyFont="1" applyAlignment="1">
      <alignment horizontal="center" vertical="center"/>
    </xf>
    <xf numFmtId="0" fontId="71" fillId="0" borderId="0" xfId="0" applyFont="1" applyAlignment="1">
      <alignment vertical="center"/>
    </xf>
    <xf numFmtId="0" fontId="71" fillId="0" borderId="0" xfId="0" applyFont="1" applyAlignment="1">
      <alignment horizontal="left" vertical="center"/>
    </xf>
    <xf numFmtId="172" fontId="69" fillId="0" borderId="0" xfId="0" applyNumberFormat="1" applyFont="1" applyAlignment="1">
      <alignment vertical="center"/>
    </xf>
    <xf numFmtId="0" fontId="2" fillId="0" borderId="0" xfId="0" applyFont="1" applyAlignment="1">
      <alignment horizontal="center" vertical="center" wrapText="1"/>
    </xf>
    <xf numFmtId="0" fontId="70" fillId="0" borderId="0" xfId="0" applyFont="1" applyAlignment="1">
      <alignment horizontal="center" vertical="center"/>
    </xf>
    <xf numFmtId="0" fontId="70" fillId="0" borderId="0" xfId="0" applyFont="1" applyAlignment="1">
      <alignment vertical="center"/>
    </xf>
    <xf numFmtId="3" fontId="8" fillId="0" borderId="0" xfId="44" applyNumberFormat="1" applyFont="1" applyAlignment="1">
      <alignment horizontal="center" vertical="center"/>
    </xf>
    <xf numFmtId="0" fontId="73" fillId="0" borderId="0" xfId="0" applyFont="1" applyAlignment="1">
      <alignment horizontal="center" vertical="center"/>
    </xf>
    <xf numFmtId="0" fontId="73" fillId="0" borderId="0" xfId="0" applyFont="1" applyAlignment="1">
      <alignment vertical="center"/>
    </xf>
    <xf numFmtId="0" fontId="73" fillId="0" borderId="0" xfId="0" applyFont="1" applyAlignment="1">
      <alignment horizontal="left" vertical="center"/>
    </xf>
    <xf numFmtId="172" fontId="8" fillId="0" borderId="0" xfId="44" applyNumberFormat="1" applyFont="1" applyAlignment="1">
      <alignment horizontal="center" vertical="center"/>
    </xf>
    <xf numFmtId="172" fontId="70" fillId="0" borderId="0" xfId="0" applyNumberFormat="1" applyFont="1" applyAlignment="1">
      <alignment vertical="center"/>
    </xf>
    <xf numFmtId="14" fontId="73" fillId="0" borderId="0" xfId="0" applyNumberFormat="1" applyFont="1" applyAlignment="1">
      <alignment horizontal="left" vertical="center" wrapText="1"/>
    </xf>
    <xf numFmtId="0" fontId="25" fillId="0" borderId="10" xfId="0" applyFont="1" applyBorder="1" applyAlignment="1">
      <alignment horizontal="center" vertical="center"/>
    </xf>
    <xf numFmtId="0" fontId="25" fillId="0" borderId="10" xfId="0" applyFont="1" applyBorder="1" applyAlignment="1">
      <alignment horizontal="center" vertical="center" wrapText="1"/>
    </xf>
    <xf numFmtId="0" fontId="25" fillId="0" borderId="30" xfId="44" applyFont="1" applyBorder="1" applyAlignment="1">
      <alignment horizontal="left" vertical="center"/>
    </xf>
    <xf numFmtId="0" fontId="3" fillId="0" borderId="30" xfId="0" applyFont="1" applyBorder="1" applyAlignment="1">
      <alignment vertical="center"/>
    </xf>
    <xf numFmtId="172" fontId="39" fillId="0" borderId="10" xfId="63" applyNumberFormat="1" applyFont="1" applyFill="1" applyBorder="1" applyAlignment="1">
      <alignment horizontal="left" vertical="center" wrapText="1"/>
    </xf>
    <xf numFmtId="172" fontId="39" fillId="0" borderId="10" xfId="63" applyNumberFormat="1" applyFont="1" applyFill="1" applyBorder="1" applyAlignment="1">
      <alignment horizontal="right" vertical="center" wrapText="1"/>
    </xf>
    <xf numFmtId="172" fontId="39" fillId="0" borderId="10" xfId="63" applyNumberFormat="1" applyFont="1" applyFill="1" applyBorder="1" applyAlignment="1">
      <alignment vertical="center"/>
    </xf>
    <xf numFmtId="0" fontId="39" fillId="0" borderId="0" xfId="0" applyFont="1" applyAlignment="1">
      <alignment horizontal="center" vertical="top"/>
    </xf>
    <xf numFmtId="0" fontId="39" fillId="0" borderId="0" xfId="0" applyFont="1" applyAlignment="1">
      <alignment vertical="top"/>
    </xf>
    <xf numFmtId="0" fontId="39" fillId="0" borderId="0" xfId="0" applyFont="1"/>
    <xf numFmtId="0" fontId="39" fillId="0" borderId="0" xfId="0" applyFont="1" applyAlignment="1">
      <alignment horizontal="center"/>
    </xf>
    <xf numFmtId="0" fontId="39" fillId="0" borderId="0" xfId="0" applyFont="1" applyAlignment="1">
      <alignment horizontal="left" vertical="top"/>
    </xf>
    <xf numFmtId="172" fontId="39" fillId="0" borderId="0" xfId="63" applyNumberFormat="1" applyFont="1" applyFill="1"/>
    <xf numFmtId="0" fontId="39" fillId="0" borderId="0" xfId="0" applyFont="1" applyAlignment="1">
      <alignment vertical="top" wrapText="1"/>
    </xf>
    <xf numFmtId="172" fontId="39" fillId="0" borderId="0" xfId="63" applyNumberFormat="1" applyFont="1" applyFill="1" applyAlignment="1">
      <alignment horizontal="right"/>
    </xf>
    <xf numFmtId="41" fontId="39" fillId="0" borderId="0" xfId="0" applyNumberFormat="1" applyFont="1"/>
    <xf numFmtId="0" fontId="33" fillId="0" borderId="10" xfId="0" applyFont="1" applyBorder="1" applyAlignment="1">
      <alignment vertical="center" wrapText="1"/>
    </xf>
    <xf numFmtId="1" fontId="31" fillId="0" borderId="10" xfId="0" applyNumberFormat="1" applyFont="1" applyBorder="1" applyAlignment="1">
      <alignment horizontal="center" vertical="center" wrapText="1"/>
    </xf>
    <xf numFmtId="14" fontId="31" fillId="0" borderId="10" xfId="0" applyNumberFormat="1" applyFont="1" applyBorder="1" applyAlignment="1">
      <alignment vertical="center"/>
    </xf>
    <xf numFmtId="0" fontId="8" fillId="0" borderId="30" xfId="49" applyFont="1" applyBorder="1" applyAlignment="1">
      <alignment horizontal="center" vertical="center" wrapText="1"/>
    </xf>
    <xf numFmtId="0" fontId="25" fillId="0" borderId="10" xfId="0" applyFont="1" applyBorder="1" applyAlignment="1">
      <alignment vertical="center" wrapText="1"/>
    </xf>
    <xf numFmtId="3" fontId="8" fillId="0" borderId="10" xfId="0" applyNumberFormat="1" applyFont="1" applyBorder="1" applyAlignment="1">
      <alignment horizontal="center" vertical="center" wrapText="1"/>
    </xf>
    <xf numFmtId="1" fontId="25" fillId="0" borderId="10" xfId="0" applyNumberFormat="1" applyFont="1" applyBorder="1" applyAlignment="1">
      <alignment horizontal="right" vertical="center"/>
    </xf>
    <xf numFmtId="0" fontId="31" fillId="0" borderId="0" xfId="0" applyFont="1" applyAlignment="1">
      <alignment horizontal="center" vertical="center"/>
    </xf>
    <xf numFmtId="0" fontId="25" fillId="0" borderId="30" xfId="0" applyFont="1" applyBorder="1" applyAlignment="1">
      <alignment horizontal="center" vertical="center" wrapText="1"/>
    </xf>
    <xf numFmtId="0" fontId="25" fillId="0" borderId="30" xfId="0" applyFont="1" applyBorder="1" applyAlignment="1">
      <alignment horizontal="right" vertical="center"/>
    </xf>
    <xf numFmtId="9" fontId="25" fillId="0" borderId="30" xfId="0" applyNumberFormat="1" applyFont="1" applyBorder="1" applyAlignment="1">
      <alignment vertical="center"/>
    </xf>
    <xf numFmtId="0" fontId="30" fillId="0" borderId="0" xfId="0" applyFont="1" applyAlignment="1">
      <alignment horizontal="center" vertical="top"/>
    </xf>
    <xf numFmtId="0" fontId="30" fillId="0" borderId="0" xfId="0" applyFont="1" applyAlignment="1">
      <alignment vertical="top"/>
    </xf>
    <xf numFmtId="0" fontId="30" fillId="0" borderId="0" xfId="0" applyFont="1" applyAlignment="1">
      <alignment vertical="top" wrapText="1"/>
    </xf>
    <xf numFmtId="172" fontId="8" fillId="0" borderId="0" xfId="69" applyNumberFormat="1" applyFont="1" applyFill="1" applyAlignment="1">
      <alignment horizontal="center" vertical="center"/>
    </xf>
    <xf numFmtId="3" fontId="8" fillId="0" borderId="0" xfId="43" applyNumberFormat="1" applyFont="1" applyAlignment="1">
      <alignment vertical="center"/>
    </xf>
    <xf numFmtId="0" fontId="30" fillId="0" borderId="0" xfId="0" applyFont="1"/>
    <xf numFmtId="172" fontId="8" fillId="0" borderId="0" xfId="69" applyNumberFormat="1" applyFont="1" applyFill="1" applyAlignment="1">
      <alignment vertical="center"/>
    </xf>
    <xf numFmtId="0" fontId="31" fillId="4" borderId="0" xfId="0" applyFont="1" applyFill="1" applyAlignment="1">
      <alignment vertical="center"/>
    </xf>
    <xf numFmtId="0" fontId="2" fillId="0" borderId="30" xfId="45" applyFont="1" applyBorder="1" applyAlignment="1">
      <alignment vertical="center" wrapText="1"/>
    </xf>
    <xf numFmtId="0" fontId="67" fillId="0" borderId="30" xfId="45" applyFont="1" applyBorder="1" applyAlignment="1">
      <alignment vertical="center" wrapText="1"/>
    </xf>
    <xf numFmtId="0" fontId="25" fillId="0" borderId="30" xfId="45" applyFont="1" applyBorder="1" applyAlignment="1">
      <alignment vertical="center" wrapText="1"/>
    </xf>
    <xf numFmtId="172" fontId="25" fillId="0" borderId="30" xfId="65" applyNumberFormat="1" applyFont="1" applyFill="1" applyBorder="1" applyAlignment="1">
      <alignment vertical="center" wrapText="1"/>
    </xf>
    <xf numFmtId="0" fontId="33" fillId="0" borderId="10" xfId="0" applyFont="1" applyBorder="1" applyAlignment="1">
      <alignment horizontal="left" vertical="center" wrapText="1"/>
    </xf>
    <xf numFmtId="0" fontId="33" fillId="0" borderId="10" xfId="0" applyFont="1" applyBorder="1" applyAlignment="1">
      <alignment horizontal="center" vertical="center" wrapText="1"/>
    </xf>
    <xf numFmtId="1" fontId="33" fillId="0" borderId="10" xfId="0" applyNumberFormat="1" applyFont="1" applyBorder="1" applyAlignment="1">
      <alignment horizontal="center" vertical="center" wrapText="1"/>
    </xf>
    <xf numFmtId="3" fontId="33" fillId="0" borderId="10" xfId="0" applyNumberFormat="1" applyFont="1" applyBorder="1" applyAlignment="1">
      <alignment horizontal="center" vertical="center" wrapText="1"/>
    </xf>
    <xf numFmtId="9" fontId="33" fillId="0" borderId="10" xfId="0" applyNumberFormat="1" applyFont="1" applyBorder="1" applyAlignment="1">
      <alignment horizontal="center" vertical="center" wrapText="1"/>
    </xf>
    <xf numFmtId="0" fontId="44" fillId="0" borderId="10" xfId="0" applyFont="1" applyBorder="1" applyAlignment="1">
      <alignment horizontal="center" vertical="center" wrapText="1"/>
    </xf>
    <xf numFmtId="0" fontId="44" fillId="0" borderId="10" xfId="0" applyFont="1" applyBorder="1" applyAlignment="1">
      <alignment horizontal="left" vertical="center" wrapText="1"/>
    </xf>
    <xf numFmtId="1" fontId="44" fillId="0" borderId="10" xfId="0" applyNumberFormat="1" applyFont="1" applyBorder="1" applyAlignment="1">
      <alignment horizontal="center" vertical="center" wrapText="1"/>
    </xf>
    <xf numFmtId="3" fontId="44" fillId="0" borderId="10" xfId="0" applyNumberFormat="1" applyFont="1" applyBorder="1" applyAlignment="1">
      <alignment horizontal="center" vertical="center" wrapText="1"/>
    </xf>
    <xf numFmtId="9" fontId="44" fillId="0" borderId="10" xfId="0" applyNumberFormat="1" applyFont="1" applyBorder="1" applyAlignment="1">
      <alignment horizontal="center" vertical="center" wrapText="1"/>
    </xf>
    <xf numFmtId="0" fontId="93" fillId="0" borderId="10" xfId="0" applyFont="1" applyBorder="1" applyAlignment="1">
      <alignment horizontal="center" vertical="center" wrapText="1"/>
    </xf>
    <xf numFmtId="0" fontId="93" fillId="0" borderId="10" xfId="0" applyFont="1" applyBorder="1" applyAlignment="1">
      <alignment vertical="center" wrapText="1"/>
    </xf>
    <xf numFmtId="0" fontId="93" fillId="0" borderId="10" xfId="0" applyFont="1" applyBorder="1" applyAlignment="1">
      <alignment horizontal="left" vertical="center" wrapText="1"/>
    </xf>
    <xf numFmtId="1" fontId="93" fillId="0" borderId="10" xfId="0" applyNumberFormat="1" applyFont="1" applyBorder="1" applyAlignment="1">
      <alignment horizontal="center" vertical="center" wrapText="1"/>
    </xf>
    <xf numFmtId="3" fontId="93" fillId="0" borderId="10" xfId="0" applyNumberFormat="1" applyFont="1" applyBorder="1" applyAlignment="1">
      <alignment horizontal="center" vertical="center" wrapText="1"/>
    </xf>
    <xf numFmtId="9" fontId="93" fillId="0" borderId="10" xfId="0" applyNumberFormat="1" applyFont="1" applyBorder="1" applyAlignment="1">
      <alignment horizontal="center" vertical="center" wrapText="1"/>
    </xf>
    <xf numFmtId="0" fontId="94" fillId="0" borderId="10" xfId="0" applyFont="1" applyBorder="1" applyAlignment="1">
      <alignment horizontal="center" vertical="center" wrapText="1"/>
    </xf>
    <xf numFmtId="1" fontId="31" fillId="0" borderId="10" xfId="0" applyNumberFormat="1" applyFont="1" applyBorder="1" applyAlignment="1">
      <alignment horizontal="right" vertical="center" wrapText="1"/>
    </xf>
    <xf numFmtId="3" fontId="32" fillId="0" borderId="10" xfId="0" applyNumberFormat="1" applyFont="1" applyBorder="1" applyAlignment="1">
      <alignment vertical="center"/>
    </xf>
    <xf numFmtId="9" fontId="32" fillId="0" borderId="10" xfId="0" applyNumberFormat="1" applyFont="1" applyBorder="1" applyAlignment="1">
      <alignment horizontal="right" vertical="center" wrapText="1"/>
    </xf>
    <xf numFmtId="1" fontId="32" fillId="0" borderId="10" xfId="0" applyNumberFormat="1" applyFont="1" applyBorder="1" applyAlignment="1">
      <alignment horizontal="right" vertical="center" wrapText="1"/>
    </xf>
    <xf numFmtId="177" fontId="32" fillId="0" borderId="10" xfId="0" applyNumberFormat="1" applyFont="1" applyBorder="1" applyAlignment="1">
      <alignment vertical="center"/>
    </xf>
    <xf numFmtId="1" fontId="32" fillId="0" borderId="10" xfId="0" applyNumberFormat="1" applyFont="1" applyBorder="1" applyAlignment="1">
      <alignment vertical="center"/>
    </xf>
    <xf numFmtId="0" fontId="32" fillId="0" borderId="10" xfId="0" applyFont="1" applyBorder="1" applyAlignment="1">
      <alignment horizontal="right" vertical="center" wrapText="1"/>
    </xf>
    <xf numFmtId="1" fontId="30" fillId="0" borderId="10" xfId="0" applyNumberFormat="1" applyFont="1" applyBorder="1" applyAlignment="1">
      <alignment vertical="center"/>
    </xf>
    <xf numFmtId="0" fontId="30" fillId="0" borderId="10" xfId="0" applyFont="1" applyBorder="1" applyAlignment="1">
      <alignment horizontal="right" vertical="center" wrapText="1"/>
    </xf>
    <xf numFmtId="1" fontId="39" fillId="0" borderId="10" xfId="0" applyNumberFormat="1" applyFont="1" applyBorder="1" applyAlignment="1">
      <alignment vertical="center"/>
    </xf>
    <xf numFmtId="9" fontId="39" fillId="0" borderId="10" xfId="0" applyNumberFormat="1" applyFont="1" applyBorder="1" applyAlignment="1">
      <alignment horizontal="right" vertical="center" wrapText="1"/>
    </xf>
    <xf numFmtId="0" fontId="39" fillId="0" borderId="10" xfId="0" applyFont="1" applyBorder="1" applyAlignment="1">
      <alignment horizontal="right" vertical="center" wrapText="1"/>
    </xf>
    <xf numFmtId="1" fontId="31" fillId="0" borderId="10" xfId="0" applyNumberFormat="1" applyFont="1" applyBorder="1" applyAlignment="1">
      <alignment vertical="center"/>
    </xf>
    <xf numFmtId="1" fontId="72" fillId="0" borderId="10" xfId="0" applyNumberFormat="1" applyFont="1" applyBorder="1" applyAlignment="1">
      <alignment vertical="center"/>
    </xf>
    <xf numFmtId="0" fontId="39" fillId="0" borderId="10" xfId="0" applyFont="1" applyBorder="1" applyAlignment="1">
      <alignment horizontal="right" vertical="center"/>
    </xf>
    <xf numFmtId="1" fontId="39" fillId="0" borderId="10" xfId="0" applyNumberFormat="1" applyFont="1" applyBorder="1" applyAlignment="1">
      <alignment horizontal="right" vertical="center"/>
    </xf>
    <xf numFmtId="9" fontId="31" fillId="0" borderId="10" xfId="0" applyNumberFormat="1" applyFont="1" applyBorder="1" applyAlignment="1">
      <alignment horizontal="right" vertical="center"/>
    </xf>
    <xf numFmtId="1" fontId="31" fillId="0" borderId="10" xfId="0" applyNumberFormat="1" applyFont="1" applyBorder="1" applyAlignment="1">
      <alignment horizontal="right" vertical="center"/>
    </xf>
    <xf numFmtId="0" fontId="72" fillId="0" borderId="10" xfId="0" applyFont="1" applyBorder="1" applyAlignment="1">
      <alignment horizontal="left" vertical="center" wrapText="1"/>
    </xf>
    <xf numFmtId="1" fontId="39" fillId="0" borderId="10" xfId="0" applyNumberFormat="1" applyFont="1" applyBorder="1" applyAlignment="1">
      <alignment horizontal="right" vertical="center" wrapText="1"/>
    </xf>
    <xf numFmtId="0" fontId="30" fillId="0" borderId="10" xfId="0" applyFont="1" applyBorder="1" applyAlignment="1">
      <alignment horizontal="right" vertical="center"/>
    </xf>
    <xf numFmtId="1" fontId="30" fillId="0" borderId="10" xfId="0" applyNumberFormat="1" applyFont="1" applyBorder="1" applyAlignment="1">
      <alignment horizontal="right" vertical="center"/>
    </xf>
    <xf numFmtId="177" fontId="31" fillId="0" borderId="10" xfId="0" applyNumberFormat="1" applyFont="1" applyBorder="1" applyAlignment="1">
      <alignment horizontal="right" vertical="center"/>
    </xf>
    <xf numFmtId="3" fontId="39" fillId="0" borderId="10" xfId="0" applyNumberFormat="1" applyFont="1" applyBorder="1" applyAlignment="1">
      <alignment horizontal="center" vertical="center"/>
    </xf>
    <xf numFmtId="177" fontId="25" fillId="0" borderId="10" xfId="0" applyNumberFormat="1" applyFont="1" applyBorder="1" applyAlignment="1">
      <alignment horizontal="right" vertical="center"/>
    </xf>
    <xf numFmtId="177" fontId="39" fillId="0" borderId="10" xfId="0" applyNumberFormat="1" applyFont="1" applyBorder="1" applyAlignment="1">
      <alignment horizontal="right" vertical="center"/>
    </xf>
    <xf numFmtId="0" fontId="25" fillId="0" borderId="10" xfId="0" applyFont="1" applyBorder="1" applyAlignment="1">
      <alignment vertical="center"/>
    </xf>
    <xf numFmtId="172" fontId="25" fillId="0" borderId="10" xfId="0" applyNumberFormat="1" applyFont="1" applyBorder="1" applyAlignment="1">
      <alignment horizontal="right" vertical="center"/>
    </xf>
    <xf numFmtId="14" fontId="25" fillId="0" borderId="10" xfId="0" applyNumberFormat="1" applyFont="1" applyBorder="1" applyAlignment="1">
      <alignment vertical="center"/>
    </xf>
    <xf numFmtId="188" fontId="39" fillId="0" borderId="10" xfId="0" applyNumberFormat="1" applyFont="1" applyBorder="1" applyAlignment="1">
      <alignment horizontal="right" vertical="center"/>
    </xf>
    <xf numFmtId="0" fontId="32" fillId="0" borderId="10" xfId="0" applyFont="1" applyBorder="1" applyAlignment="1">
      <alignment horizontal="right" vertical="center"/>
    </xf>
    <xf numFmtId="172" fontId="32" fillId="0" borderId="10" xfId="0" applyNumberFormat="1" applyFont="1" applyBorder="1" applyAlignment="1">
      <alignment horizontal="right" vertical="center"/>
    </xf>
    <xf numFmtId="1" fontId="32" fillId="0" borderId="10" xfId="0" applyNumberFormat="1" applyFont="1" applyBorder="1" applyAlignment="1">
      <alignment horizontal="right" vertical="center"/>
    </xf>
    <xf numFmtId="172" fontId="30" fillId="0" borderId="10" xfId="0" applyNumberFormat="1" applyFont="1" applyBorder="1" applyAlignment="1">
      <alignment horizontal="right" vertical="center"/>
    </xf>
    <xf numFmtId="1" fontId="31" fillId="0" borderId="10" xfId="0" applyNumberFormat="1" applyFont="1" applyBorder="1" applyAlignment="1">
      <alignment horizontal="center" vertical="center"/>
    </xf>
    <xf numFmtId="10" fontId="39" fillId="0" borderId="10" xfId="0" applyNumberFormat="1" applyFont="1" applyBorder="1" applyAlignment="1">
      <alignment horizontal="center" vertical="center"/>
    </xf>
    <xf numFmtId="10" fontId="31" fillId="0" borderId="10" xfId="0" applyNumberFormat="1" applyFont="1" applyBorder="1" applyAlignment="1">
      <alignment horizontal="center" vertical="center"/>
    </xf>
    <xf numFmtId="4" fontId="31" fillId="0" borderId="10" xfId="0" applyNumberFormat="1" applyFont="1" applyBorder="1" applyAlignment="1">
      <alignment vertical="center"/>
    </xf>
    <xf numFmtId="0" fontId="39" fillId="0" borderId="0" xfId="0" applyFont="1" applyAlignment="1">
      <alignment horizontal="left" vertical="center" wrapText="1"/>
    </xf>
    <xf numFmtId="1" fontId="31" fillId="0" borderId="0" xfId="0" applyNumberFormat="1" applyFont="1" applyAlignment="1">
      <alignment vertical="center"/>
    </xf>
    <xf numFmtId="0" fontId="33" fillId="0" borderId="18" xfId="0" applyFont="1" applyBorder="1" applyAlignment="1">
      <alignment horizontal="center" vertical="center" wrapText="1"/>
    </xf>
    <xf numFmtId="0" fontId="33" fillId="0" borderId="18" xfId="0" applyFont="1" applyBorder="1" applyAlignment="1">
      <alignment horizontal="left" vertical="center" wrapText="1"/>
    </xf>
    <xf numFmtId="1" fontId="33" fillId="0" borderId="18" xfId="0" applyNumberFormat="1" applyFont="1" applyBorder="1" applyAlignment="1">
      <alignment horizontal="center" vertical="center" wrapText="1"/>
    </xf>
    <xf numFmtId="0" fontId="92" fillId="0" borderId="18" xfId="0" applyFont="1" applyBorder="1" applyAlignment="1">
      <alignment vertical="center" wrapText="1"/>
    </xf>
    <xf numFmtId="3" fontId="33" fillId="0" borderId="18" xfId="0" applyNumberFormat="1" applyFont="1" applyBorder="1" applyAlignment="1">
      <alignment horizontal="center" vertical="center" wrapText="1"/>
    </xf>
    <xf numFmtId="9" fontId="33" fillId="0" borderId="18" xfId="0" applyNumberFormat="1" applyFont="1" applyBorder="1" applyAlignment="1">
      <alignment horizontal="center" vertical="center" wrapText="1"/>
    </xf>
    <xf numFmtId="0" fontId="25" fillId="0" borderId="10" xfId="44" applyFont="1" applyBorder="1" applyAlignment="1">
      <alignment vertical="center" wrapText="1"/>
    </xf>
    <xf numFmtId="10" fontId="31" fillId="0" borderId="19" xfId="0" applyNumberFormat="1" applyFont="1" applyBorder="1" applyAlignment="1">
      <alignment horizontal="center" vertical="center"/>
    </xf>
    <xf numFmtId="0" fontId="25" fillId="0" borderId="19" xfId="44" applyFont="1" applyBorder="1" applyAlignment="1">
      <alignment vertical="center" wrapText="1"/>
    </xf>
    <xf numFmtId="4" fontId="31" fillId="0" borderId="19" xfId="0" applyNumberFormat="1" applyFont="1" applyBorder="1" applyAlignment="1">
      <alignment vertical="center"/>
    </xf>
    <xf numFmtId="172" fontId="31" fillId="0" borderId="19" xfId="0" applyNumberFormat="1" applyFont="1" applyBorder="1" applyAlignment="1">
      <alignment horizontal="right" vertical="center"/>
    </xf>
    <xf numFmtId="10" fontId="31" fillId="0" borderId="19" xfId="0" applyNumberFormat="1" applyFont="1" applyBorder="1" applyAlignment="1">
      <alignment horizontal="right" vertical="center"/>
    </xf>
    <xf numFmtId="177" fontId="31" fillId="0" borderId="19" xfId="0" applyNumberFormat="1" applyFont="1" applyBorder="1" applyAlignment="1">
      <alignment horizontal="right" vertical="center"/>
    </xf>
    <xf numFmtId="172" fontId="32" fillId="0" borderId="10" xfId="0" applyNumberFormat="1" applyFont="1" applyBorder="1" applyAlignment="1">
      <alignment horizontal="center" vertical="center" wrapText="1"/>
    </xf>
    <xf numFmtId="172" fontId="32" fillId="0" borderId="10" xfId="0" applyNumberFormat="1" applyFont="1" applyBorder="1" applyAlignment="1">
      <alignment vertical="center"/>
    </xf>
    <xf numFmtId="172" fontId="30" fillId="0" borderId="10" xfId="0" applyNumberFormat="1" applyFont="1" applyBorder="1" applyAlignment="1">
      <alignment vertical="center"/>
    </xf>
    <xf numFmtId="172" fontId="32" fillId="0" borderId="10" xfId="0" applyNumberFormat="1" applyFont="1" applyBorder="1" applyAlignment="1">
      <alignment vertical="center" wrapText="1"/>
    </xf>
    <xf numFmtId="172" fontId="39" fillId="0" borderId="10" xfId="0" applyNumberFormat="1" applyFont="1" applyBorder="1" applyAlignment="1">
      <alignment vertical="center" wrapText="1"/>
    </xf>
    <xf numFmtId="3" fontId="25" fillId="0" borderId="10" xfId="87" applyNumberFormat="1" applyFont="1" applyFill="1" applyBorder="1" applyAlignment="1">
      <alignment vertical="center" wrapText="1"/>
    </xf>
    <xf numFmtId="192" fontId="31" fillId="0" borderId="10" xfId="86" applyNumberFormat="1" applyFont="1" applyFill="1" applyBorder="1" applyAlignment="1">
      <alignment vertical="center"/>
    </xf>
    <xf numFmtId="3" fontId="25" fillId="0" borderId="10" xfId="0" applyNumberFormat="1" applyFont="1" applyBorder="1" applyAlignment="1">
      <alignment vertical="center"/>
    </xf>
    <xf numFmtId="3" fontId="25" fillId="0" borderId="10" xfId="23" applyNumberFormat="1" applyFont="1" applyFill="1" applyBorder="1" applyAlignment="1">
      <alignment vertical="center"/>
    </xf>
    <xf numFmtId="3" fontId="31" fillId="0" borderId="19" xfId="0" applyNumberFormat="1" applyFont="1" applyBorder="1" applyAlignment="1">
      <alignment vertical="center"/>
    </xf>
    <xf numFmtId="172" fontId="30" fillId="0" borderId="10" xfId="0" applyNumberFormat="1" applyFont="1" applyBorder="1" applyAlignment="1">
      <alignment vertical="center" wrapText="1"/>
    </xf>
    <xf numFmtId="1" fontId="39" fillId="0" borderId="0" xfId="0" applyNumberFormat="1" applyFont="1" applyAlignment="1">
      <alignment vertical="center"/>
    </xf>
    <xf numFmtId="0" fontId="39" fillId="0" borderId="0" xfId="0" applyFont="1" applyAlignment="1">
      <alignment horizontal="right" vertical="center"/>
    </xf>
    <xf numFmtId="0" fontId="32" fillId="0" borderId="30" xfId="49" applyFont="1" applyBorder="1" applyAlignment="1">
      <alignment horizontal="left" vertical="center" wrapText="1"/>
    </xf>
    <xf numFmtId="0" fontId="67" fillId="0" borderId="30" xfId="49" applyFont="1" applyBorder="1" applyAlignment="1">
      <alignment horizontal="center" vertical="center" wrapText="1"/>
    </xf>
    <xf numFmtId="0" fontId="67" fillId="0" borderId="30" xfId="39" applyFont="1" applyBorder="1" applyAlignment="1">
      <alignment horizontal="left" vertical="center" wrapText="1"/>
    </xf>
    <xf numFmtId="0" fontId="67" fillId="0" borderId="30" xfId="39" applyFont="1" applyBorder="1" applyAlignment="1">
      <alignment vertical="center" wrapText="1"/>
    </xf>
    <xf numFmtId="0" fontId="0" fillId="0" borderId="30" xfId="0" applyBorder="1" applyAlignment="1">
      <alignment horizontal="center" vertical="center" wrapText="1"/>
    </xf>
    <xf numFmtId="0" fontId="67" fillId="0" borderId="30" xfId="39" applyFont="1" applyBorder="1" applyAlignment="1">
      <alignment horizontal="right" vertical="center" wrapText="1"/>
    </xf>
    <xf numFmtId="193" fontId="67" fillId="0" borderId="30" xfId="44" applyNumberFormat="1" applyFont="1" applyBorder="1" applyAlignment="1">
      <alignment horizontal="center" vertical="center" wrapText="1"/>
    </xf>
    <xf numFmtId="193" fontId="67" fillId="0" borderId="30" xfId="39" applyNumberFormat="1" applyFont="1" applyBorder="1" applyAlignment="1">
      <alignment horizontal="center" vertical="center" wrapText="1"/>
    </xf>
    <xf numFmtId="0" fontId="30" fillId="0" borderId="30" xfId="49" applyFont="1" applyBorder="1" applyAlignment="1">
      <alignment horizontal="left" vertical="center" wrapText="1"/>
    </xf>
    <xf numFmtId="0" fontId="2" fillId="0" borderId="30" xfId="49" applyFont="1" applyBorder="1" applyAlignment="1">
      <alignment horizontal="center" vertical="center" wrapText="1"/>
    </xf>
    <xf numFmtId="0" fontId="2" fillId="0" borderId="30" xfId="39" applyFont="1" applyBorder="1" applyAlignment="1">
      <alignment horizontal="left" vertical="center" wrapText="1"/>
    </xf>
    <xf numFmtId="0" fontId="2" fillId="0" borderId="30" xfId="39" applyFont="1" applyBorder="1" applyAlignment="1">
      <alignment vertical="center" wrapText="1"/>
    </xf>
    <xf numFmtId="0" fontId="2" fillId="0" borderId="30" xfId="39" applyFont="1" applyBorder="1" applyAlignment="1">
      <alignment horizontal="right" vertical="center" wrapText="1"/>
    </xf>
    <xf numFmtId="193" fontId="2" fillId="0" borderId="30" xfId="44" applyNumberFormat="1" applyFont="1" applyBorder="1" applyAlignment="1">
      <alignment horizontal="center" vertical="center" wrapText="1"/>
    </xf>
    <xf numFmtId="193" fontId="25" fillId="0" borderId="30" xfId="49" applyNumberFormat="1" applyFont="1" applyBorder="1" applyAlignment="1">
      <alignment horizontal="center" vertical="center" wrapText="1"/>
    </xf>
    <xf numFmtId="0" fontId="39" fillId="0" borderId="30" xfId="44" applyFont="1" applyBorder="1" applyAlignment="1">
      <alignment horizontal="center" vertical="center" wrapText="1"/>
    </xf>
    <xf numFmtId="0" fontId="39" fillId="0" borderId="30" xfId="49" applyFont="1" applyBorder="1" applyAlignment="1">
      <alignment horizontal="left" vertical="center" wrapText="1"/>
    </xf>
    <xf numFmtId="3" fontId="25" fillId="0" borderId="30" xfId="49" applyNumberFormat="1" applyFont="1" applyBorder="1" applyAlignment="1">
      <alignment horizontal="center" vertical="center" wrapText="1"/>
    </xf>
    <xf numFmtId="193" fontId="8" fillId="0" borderId="30" xfId="49" applyNumberFormat="1" applyFont="1" applyBorder="1" applyAlignment="1">
      <alignment horizontal="right" vertical="center" wrapText="1"/>
    </xf>
    <xf numFmtId="193" fontId="8" fillId="0" borderId="30" xfId="49" applyNumberFormat="1" applyFont="1" applyBorder="1" applyAlignment="1">
      <alignment horizontal="center" vertical="center" wrapText="1"/>
    </xf>
    <xf numFmtId="0" fontId="31" fillId="0" borderId="30" xfId="49" applyFont="1" applyBorder="1" applyAlignment="1">
      <alignment horizontal="left" vertical="center" wrapText="1"/>
    </xf>
    <xf numFmtId="172" fontId="25" fillId="0" borderId="30" xfId="69" applyNumberFormat="1" applyFont="1" applyFill="1" applyBorder="1" applyAlignment="1">
      <alignment horizontal="center" vertical="center" wrapText="1"/>
    </xf>
    <xf numFmtId="3" fontId="25" fillId="0" borderId="30" xfId="49" applyNumberFormat="1" applyFont="1" applyBorder="1" applyAlignment="1">
      <alignment horizontal="right" vertical="center" wrapText="1"/>
    </xf>
    <xf numFmtId="193" fontId="25" fillId="0" borderId="30" xfId="48" applyNumberFormat="1" applyFont="1" applyBorder="1" applyAlignment="1">
      <alignment horizontal="center" vertical="center" wrapText="1"/>
    </xf>
    <xf numFmtId="0" fontId="31" fillId="0" borderId="30" xfId="44" applyFont="1" applyBorder="1" applyAlignment="1">
      <alignment horizontal="left" vertical="center" wrapText="1"/>
    </xf>
    <xf numFmtId="3" fontId="8" fillId="0" borderId="30" xfId="49" applyNumberFormat="1" applyFont="1" applyBorder="1" applyAlignment="1">
      <alignment horizontal="right" vertical="center" wrapText="1"/>
    </xf>
    <xf numFmtId="3" fontId="25" fillId="0" borderId="30" xfId="39" applyNumberFormat="1" applyFont="1" applyBorder="1" applyAlignment="1">
      <alignment horizontal="center" vertical="center" wrapText="1"/>
    </xf>
    <xf numFmtId="0" fontId="67" fillId="0" borderId="30" xfId="49" applyFont="1" applyBorder="1" applyAlignment="1">
      <alignment vertical="center" wrapText="1"/>
    </xf>
    <xf numFmtId="3" fontId="67" fillId="0" borderId="30" xfId="49" applyNumberFormat="1" applyFont="1" applyBorder="1" applyAlignment="1">
      <alignment horizontal="right" vertical="center" wrapText="1"/>
    </xf>
    <xf numFmtId="3" fontId="2" fillId="0" borderId="30" xfId="49" applyNumberFormat="1" applyFont="1" applyBorder="1" applyAlignment="1">
      <alignment horizontal="right" vertical="center" wrapText="1"/>
    </xf>
    <xf numFmtId="0" fontId="0" fillId="0" borderId="30" xfId="0" applyBorder="1" applyAlignment="1">
      <alignment horizontal="left" vertical="center" wrapText="1"/>
    </xf>
    <xf numFmtId="0" fontId="95" fillId="0" borderId="30" xfId="0" applyFont="1" applyBorder="1" applyAlignment="1">
      <alignment vertical="center" wrapText="1"/>
    </xf>
    <xf numFmtId="0" fontId="0" fillId="0" borderId="30" xfId="0" applyBorder="1" applyAlignment="1">
      <alignment vertical="center" wrapText="1"/>
    </xf>
    <xf numFmtId="3" fontId="8" fillId="0" borderId="30" xfId="44" applyNumberFormat="1" applyFont="1" applyBorder="1" applyAlignment="1">
      <alignment horizontal="center" vertical="center" wrapText="1"/>
    </xf>
    <xf numFmtId="0" fontId="39" fillId="0" borderId="30" xfId="44" applyFont="1" applyBorder="1" applyAlignment="1">
      <alignment horizontal="left" vertical="center" wrapText="1"/>
    </xf>
    <xf numFmtId="0" fontId="30" fillId="0" borderId="30" xfId="44" applyFont="1" applyBorder="1" applyAlignment="1">
      <alignment horizontal="left" vertical="center" wrapText="1"/>
    </xf>
    <xf numFmtId="0" fontId="32" fillId="0" borderId="30" xfId="44" applyFont="1" applyBorder="1" applyAlignment="1">
      <alignment horizontal="left" vertical="center" wrapText="1"/>
    </xf>
    <xf numFmtId="0" fontId="8" fillId="0" borderId="30" xfId="39" applyFont="1" applyBorder="1" applyAlignment="1">
      <alignment vertical="center" wrapText="1"/>
    </xf>
    <xf numFmtId="0" fontId="25" fillId="0" borderId="30" xfId="39" applyFont="1" applyBorder="1" applyAlignment="1">
      <alignment vertical="center" wrapText="1"/>
    </xf>
    <xf numFmtId="0" fontId="8" fillId="0" borderId="30" xfId="39" applyFont="1" applyBorder="1" applyAlignment="1">
      <alignment horizontal="left" vertical="center" wrapText="1"/>
    </xf>
    <xf numFmtId="0" fontId="31" fillId="0" borderId="30" xfId="39" applyFont="1" applyBorder="1" applyAlignment="1">
      <alignment horizontal="left" vertical="center" wrapText="1"/>
    </xf>
    <xf numFmtId="3" fontId="67" fillId="0" borderId="30" xfId="44" applyNumberFormat="1" applyFont="1" applyBorder="1" applyAlignment="1">
      <alignment horizontal="center" vertical="center" wrapText="1"/>
    </xf>
    <xf numFmtId="3" fontId="0" fillId="0" borderId="30" xfId="0" applyNumberFormat="1" applyBorder="1" applyAlignment="1">
      <alignment horizontal="center" vertical="center" wrapText="1"/>
    </xf>
    <xf numFmtId="187" fontId="31" fillId="0" borderId="30" xfId="17" applyNumberFormat="1" applyFont="1" applyFill="1" applyBorder="1" applyAlignment="1">
      <alignment horizontal="left" vertical="center" wrapText="1"/>
    </xf>
    <xf numFmtId="0" fontId="0" fillId="0" borderId="30" xfId="0" applyBorder="1" applyAlignment="1">
      <alignment wrapText="1"/>
    </xf>
    <xf numFmtId="0" fontId="25" fillId="0" borderId="0" xfId="49" applyFont="1" applyAlignment="1">
      <alignment horizontal="center" vertical="center" wrapText="1"/>
    </xf>
    <xf numFmtId="9" fontId="25" fillId="0" borderId="0" xfId="79" applyFont="1" applyBorder="1" applyAlignment="1">
      <alignment horizontal="center" vertical="center" wrapText="1"/>
    </xf>
    <xf numFmtId="0" fontId="0" fillId="0" borderId="0" xfId="0" applyAlignment="1">
      <alignment horizontal="center" vertical="center" wrapText="1"/>
    </xf>
    <xf numFmtId="3" fontId="25" fillId="0" borderId="0" xfId="49" applyNumberFormat="1" applyFont="1" applyAlignment="1">
      <alignment horizontal="center" vertical="center" wrapText="1"/>
    </xf>
    <xf numFmtId="0" fontId="25" fillId="0" borderId="0" xfId="39" applyFont="1" applyAlignment="1">
      <alignment horizontal="left" vertical="center" wrapText="1"/>
    </xf>
    <xf numFmtId="0" fontId="31" fillId="0" borderId="0" xfId="49" applyFont="1" applyAlignment="1">
      <alignment horizontal="left" vertical="center" wrapText="1"/>
    </xf>
    <xf numFmtId="187" fontId="25" fillId="0" borderId="0" xfId="17" applyNumberFormat="1" applyFont="1" applyFill="1" applyBorder="1" applyAlignment="1">
      <alignment horizontal="right" vertical="center" wrapText="1"/>
    </xf>
    <xf numFmtId="14" fontId="25" fillId="0" borderId="0" xfId="48" applyNumberFormat="1" applyFont="1" applyAlignment="1">
      <alignment horizontal="center" vertical="center" wrapText="1"/>
    </xf>
    <xf numFmtId="9" fontId="25" fillId="0" borderId="0" xfId="79" applyFont="1" applyFill="1" applyBorder="1" applyAlignment="1">
      <alignment horizontal="center" vertical="center" wrapText="1"/>
    </xf>
    <xf numFmtId="0" fontId="0" fillId="0" borderId="0" xfId="0" applyAlignment="1">
      <alignment vertical="top" wrapText="1"/>
    </xf>
    <xf numFmtId="0" fontId="25" fillId="0" borderId="0" xfId="49" applyFont="1" applyAlignment="1">
      <alignment horizontal="left" vertical="center" wrapText="1"/>
    </xf>
    <xf numFmtId="3" fontId="25" fillId="0" borderId="0" xfId="44" applyNumberFormat="1" applyFont="1" applyAlignment="1">
      <alignment horizontal="center" vertical="center" wrapText="1"/>
    </xf>
    <xf numFmtId="187" fontId="31" fillId="0" borderId="0" xfId="17" applyNumberFormat="1" applyFont="1" applyFill="1" applyBorder="1" applyAlignment="1">
      <alignment horizontal="left" vertical="center" wrapText="1"/>
    </xf>
    <xf numFmtId="0" fontId="25" fillId="0" borderId="0" xfId="44" applyFont="1" applyAlignment="1">
      <alignment horizontal="center" vertical="center" wrapText="1"/>
    </xf>
    <xf numFmtId="0" fontId="67" fillId="0" borderId="30" xfId="49" applyFont="1" applyBorder="1" applyAlignment="1">
      <alignment vertical="center"/>
    </xf>
    <xf numFmtId="0" fontId="67" fillId="0" borderId="30" xfId="45" applyFont="1" applyBorder="1" applyAlignment="1">
      <alignment horizontal="center" vertical="center"/>
    </xf>
    <xf numFmtId="0" fontId="67" fillId="0" borderId="30" xfId="49" applyFont="1" applyBorder="1" applyAlignment="1">
      <alignment horizontal="left" vertical="center" wrapText="1"/>
    </xf>
    <xf numFmtId="1" fontId="2" fillId="0" borderId="30" xfId="45" applyNumberFormat="1" applyFont="1" applyBorder="1" applyAlignment="1">
      <alignment horizontal="center" vertical="center" wrapText="1"/>
    </xf>
    <xf numFmtId="0" fontId="2" fillId="0" borderId="30" xfId="49" applyFont="1" applyBorder="1" applyAlignment="1">
      <alignment horizontal="left" vertical="center" wrapText="1"/>
    </xf>
    <xf numFmtId="4" fontId="8" fillId="0" borderId="30" xfId="49" applyNumberFormat="1" applyFont="1" applyBorder="1" applyAlignment="1">
      <alignment vertical="center" wrapText="1"/>
    </xf>
    <xf numFmtId="14" fontId="8" fillId="0" borderId="30" xfId="49" applyNumberFormat="1" applyFont="1" applyBorder="1" applyAlignment="1">
      <alignment horizontal="right" vertical="center" wrapText="1"/>
    </xf>
    <xf numFmtId="0" fontId="8" fillId="0" borderId="30" xfId="45" applyFont="1" applyBorder="1" applyAlignment="1">
      <alignment vertical="center"/>
    </xf>
    <xf numFmtId="3" fontId="8" fillId="0" borderId="30" xfId="0" applyNumberFormat="1" applyFont="1" applyBorder="1" applyAlignment="1">
      <alignment horizontal="center" vertical="center"/>
    </xf>
    <xf numFmtId="0" fontId="2" fillId="0" borderId="30" xfId="45" applyFont="1" applyBorder="1" applyAlignment="1">
      <alignment vertical="center"/>
    </xf>
    <xf numFmtId="172" fontId="25" fillId="0" borderId="30" xfId="69" applyNumberFormat="1" applyFont="1" applyFill="1" applyBorder="1" applyAlignment="1">
      <alignment horizontal="right" vertical="center" wrapText="1"/>
    </xf>
    <xf numFmtId="172" fontId="25" fillId="0" borderId="30" xfId="69" applyNumberFormat="1" applyFont="1" applyFill="1" applyBorder="1" applyAlignment="1">
      <alignment vertical="center"/>
    </xf>
    <xf numFmtId="0" fontId="25" fillId="0" borderId="30" xfId="45" applyFont="1" applyBorder="1" applyAlignment="1">
      <alignment horizontal="left" vertical="center" wrapText="1"/>
    </xf>
    <xf numFmtId="9" fontId="8" fillId="0" borderId="30" xfId="0" applyNumberFormat="1" applyFont="1" applyBorder="1" applyAlignment="1">
      <alignment horizontal="center" vertical="center"/>
    </xf>
    <xf numFmtId="9" fontId="25" fillId="0" borderId="30" xfId="79" applyFont="1" applyFill="1" applyBorder="1" applyAlignment="1">
      <alignment horizontal="center" vertical="center"/>
    </xf>
    <xf numFmtId="4" fontId="25" fillId="0" borderId="30" xfId="49" applyNumberFormat="1" applyFont="1" applyBorder="1" applyAlignment="1">
      <alignment vertical="center" wrapText="1"/>
    </xf>
    <xf numFmtId="1" fontId="25" fillId="0" borderId="30" xfId="49" applyNumberFormat="1" applyFont="1" applyBorder="1" applyAlignment="1">
      <alignment horizontal="right" vertical="center"/>
    </xf>
    <xf numFmtId="1" fontId="25" fillId="0" borderId="30" xfId="49" applyNumberFormat="1" applyFont="1" applyBorder="1" applyAlignment="1">
      <alignment horizontal="center" vertical="center"/>
    </xf>
    <xf numFmtId="1" fontId="25" fillId="0" borderId="30" xfId="79" applyNumberFormat="1" applyFont="1" applyFill="1" applyBorder="1" applyAlignment="1">
      <alignment horizontal="center" vertical="center"/>
    </xf>
    <xf numFmtId="1" fontId="25" fillId="0" borderId="30" xfId="39" applyNumberFormat="1" applyFont="1" applyBorder="1" applyAlignment="1">
      <alignment horizontal="center" vertical="center" wrapText="1"/>
    </xf>
    <xf numFmtId="10" fontId="25" fillId="0" borderId="30" xfId="0" applyNumberFormat="1" applyFont="1" applyBorder="1" applyAlignment="1">
      <alignment horizontal="center" vertical="center"/>
    </xf>
    <xf numFmtId="10" fontId="25" fillId="0" borderId="30" xfId="69" applyNumberFormat="1" applyFont="1" applyFill="1" applyBorder="1" applyAlignment="1">
      <alignment horizontal="right" vertical="center" wrapText="1"/>
    </xf>
    <xf numFmtId="0" fontId="42" fillId="0" borderId="30" xfId="0" applyFont="1" applyBorder="1" applyAlignment="1">
      <alignment horizontal="left" vertical="center"/>
    </xf>
    <xf numFmtId="0" fontId="25" fillId="0" borderId="30" xfId="44" applyFont="1" applyBorder="1" applyAlignment="1">
      <alignment vertical="top" wrapText="1"/>
    </xf>
    <xf numFmtId="1" fontId="25" fillId="0" borderId="30" xfId="45" applyNumberFormat="1" applyFont="1" applyBorder="1" applyAlignment="1">
      <alignment horizontal="center" vertical="center"/>
    </xf>
    <xf numFmtId="14" fontId="31" fillId="0" borderId="30" xfId="0" applyNumberFormat="1" applyFont="1" applyBorder="1" applyAlignment="1">
      <alignment horizontal="right" vertical="center" wrapText="1"/>
    </xf>
    <xf numFmtId="10" fontId="25" fillId="0" borderId="30" xfId="45" applyNumberFormat="1" applyFont="1" applyBorder="1" applyAlignment="1">
      <alignment horizontal="center" vertical="center"/>
    </xf>
    <xf numFmtId="10" fontId="25" fillId="0" borderId="30" xfId="69" applyNumberFormat="1" applyFont="1" applyFill="1" applyBorder="1" applyAlignment="1">
      <alignment horizontal="center" vertical="center"/>
    </xf>
    <xf numFmtId="3" fontId="31" fillId="0" borderId="30" xfId="49" applyNumberFormat="1" applyFont="1" applyBorder="1" applyAlignment="1">
      <alignment vertical="center" wrapText="1"/>
    </xf>
    <xf numFmtId="172" fontId="8" fillId="0" borderId="0" xfId="43" applyNumberFormat="1" applyFont="1" applyAlignment="1">
      <alignment horizontal="center" vertical="center"/>
    </xf>
    <xf numFmtId="9" fontId="8" fillId="0" borderId="0" xfId="69" applyFont="1" applyFill="1" applyAlignment="1">
      <alignment vertical="center"/>
    </xf>
    <xf numFmtId="0" fontId="90" fillId="0" borderId="30" xfId="44" applyFont="1" applyBorder="1" applyAlignment="1">
      <alignment vertical="center" wrapText="1"/>
    </xf>
    <xf numFmtId="9" fontId="25" fillId="0" borderId="30" xfId="45" applyNumberFormat="1" applyFont="1" applyBorder="1" applyAlignment="1">
      <alignment vertical="center"/>
    </xf>
    <xf numFmtId="0" fontId="25" fillId="0" borderId="0" xfId="49" applyFont="1" applyAlignment="1">
      <alignment vertical="center" wrapText="1"/>
    </xf>
    <xf numFmtId="9" fontId="2" fillId="0" borderId="30" xfId="68" applyFont="1" applyFill="1" applyBorder="1" applyAlignment="1">
      <alignment horizontal="right" vertical="center"/>
    </xf>
    <xf numFmtId="9" fontId="8" fillId="0" borderId="30" xfId="68" applyFont="1" applyFill="1" applyBorder="1" applyAlignment="1">
      <alignment horizontal="right" vertical="center" wrapText="1"/>
    </xf>
    <xf numFmtId="0" fontId="70" fillId="0" borderId="30" xfId="0" applyFont="1" applyBorder="1" applyAlignment="1">
      <alignment horizontal="center" vertical="center" wrapText="1"/>
    </xf>
    <xf numFmtId="9" fontId="25" fillId="0" borderId="30" xfId="49" applyNumberFormat="1" applyFont="1" applyBorder="1" applyAlignment="1">
      <alignment horizontal="right" vertical="center" wrapText="1"/>
    </xf>
    <xf numFmtId="172" fontId="25" fillId="0" borderId="30" xfId="49" applyNumberFormat="1" applyFont="1" applyBorder="1" applyAlignment="1">
      <alignment horizontal="right" vertical="center" wrapText="1"/>
    </xf>
    <xf numFmtId="0" fontId="34" fillId="0" borderId="30" xfId="0" applyFont="1" applyBorder="1" applyAlignment="1">
      <alignment horizontal="center" vertical="center"/>
    </xf>
    <xf numFmtId="0" fontId="35" fillId="0" borderId="30" xfId="0" applyFont="1" applyBorder="1" applyAlignment="1">
      <alignment vertical="center" wrapText="1"/>
    </xf>
    <xf numFmtId="49" fontId="67" fillId="0" borderId="30" xfId="0" applyNumberFormat="1" applyFont="1" applyBorder="1" applyAlignment="1">
      <alignment vertical="center"/>
    </xf>
    <xf numFmtId="0" fontId="34" fillId="0" borderId="30" xfId="0" applyFont="1" applyBorder="1" applyAlignment="1">
      <alignment vertical="center" wrapText="1"/>
    </xf>
    <xf numFmtId="0" fontId="69" fillId="0" borderId="30" xfId="0" applyFont="1" applyBorder="1" applyAlignment="1">
      <alignment vertical="center" wrapText="1"/>
    </xf>
    <xf numFmtId="49" fontId="2" fillId="0" borderId="30" xfId="0" applyNumberFormat="1" applyFont="1" applyBorder="1" applyAlignment="1">
      <alignment vertical="center"/>
    </xf>
    <xf numFmtId="0" fontId="70" fillId="0" borderId="30" xfId="0" applyFont="1" applyBorder="1" applyAlignment="1">
      <alignment vertical="center" wrapText="1"/>
    </xf>
    <xf numFmtId="9" fontId="25" fillId="0" borderId="30" xfId="0" applyNumberFormat="1" applyFont="1" applyBorder="1" applyAlignment="1">
      <alignment horizontal="center" vertical="center"/>
    </xf>
    <xf numFmtId="9" fontId="25" fillId="0" borderId="30" xfId="68" applyFont="1" applyFill="1" applyBorder="1" applyAlignment="1">
      <alignment horizontal="right" vertical="center"/>
    </xf>
    <xf numFmtId="0" fontId="39" fillId="8" borderId="0" xfId="0" applyFont="1" applyFill="1" applyAlignment="1">
      <alignment vertical="center" wrapText="1"/>
    </xf>
    <xf numFmtId="0" fontId="30" fillId="8" borderId="0" xfId="0" applyFont="1" applyFill="1" applyAlignment="1">
      <alignment horizontal="center" vertical="center"/>
    </xf>
    <xf numFmtId="0" fontId="30" fillId="8" borderId="0" xfId="0" applyFont="1" applyFill="1" applyAlignment="1">
      <alignment vertical="center" wrapText="1"/>
    </xf>
    <xf numFmtId="0" fontId="30" fillId="8" borderId="0" xfId="0" applyFont="1" applyFill="1" applyAlignment="1">
      <alignment vertical="center"/>
    </xf>
    <xf numFmtId="0" fontId="31" fillId="8" borderId="0" xfId="0" applyFont="1" applyFill="1" applyAlignment="1">
      <alignment vertical="center"/>
    </xf>
    <xf numFmtId="0" fontId="31" fillId="6" borderId="0" xfId="0" applyFont="1" applyFill="1" applyAlignment="1">
      <alignment vertical="center"/>
    </xf>
    <xf numFmtId="0" fontId="72" fillId="8" borderId="0" xfId="0" applyFont="1" applyFill="1" applyAlignment="1">
      <alignment vertical="center"/>
    </xf>
    <xf numFmtId="0" fontId="39" fillId="8" borderId="0" xfId="0" applyFont="1" applyFill="1" applyAlignment="1">
      <alignment horizontal="center" vertical="center"/>
    </xf>
    <xf numFmtId="0" fontId="30" fillId="6" borderId="0" xfId="0" applyFont="1" applyFill="1" applyAlignment="1">
      <alignment horizontal="left" vertical="center"/>
    </xf>
    <xf numFmtId="0" fontId="30" fillId="10" borderId="0" xfId="0" applyFont="1" applyFill="1" applyAlignment="1">
      <alignment horizontal="left" vertical="center"/>
    </xf>
    <xf numFmtId="0" fontId="31" fillId="4" borderId="0" xfId="0" applyFont="1" applyFill="1" applyAlignment="1">
      <alignment horizontal="left" vertical="center"/>
    </xf>
    <xf numFmtId="9" fontId="31" fillId="8" borderId="0" xfId="0" applyNumberFormat="1" applyFont="1" applyFill="1" applyAlignment="1">
      <alignment horizontal="center" vertical="center"/>
    </xf>
    <xf numFmtId="0" fontId="72" fillId="4" borderId="0" xfId="0" applyFont="1" applyFill="1" applyAlignment="1">
      <alignment vertical="center"/>
    </xf>
    <xf numFmtId="0" fontId="31" fillId="10" borderId="0" xfId="0" applyFont="1" applyFill="1" applyAlignment="1">
      <alignment vertical="center"/>
    </xf>
    <xf numFmtId="0" fontId="98" fillId="8" borderId="0" xfId="0" applyFont="1" applyFill="1" applyAlignment="1">
      <alignment vertical="center"/>
    </xf>
    <xf numFmtId="172" fontId="31" fillId="4" borderId="0" xfId="0" applyNumberFormat="1" applyFont="1" applyFill="1" applyAlignment="1">
      <alignment vertical="center"/>
    </xf>
    <xf numFmtId="172" fontId="31" fillId="8" borderId="0" xfId="0" applyNumberFormat="1" applyFont="1" applyFill="1" applyAlignment="1">
      <alignment vertical="center"/>
    </xf>
    <xf numFmtId="0" fontId="39" fillId="8" borderId="0" xfId="0" applyFont="1" applyFill="1" applyAlignment="1">
      <alignment vertical="center"/>
    </xf>
    <xf numFmtId="0" fontId="39" fillId="10" borderId="0" xfId="0" applyFont="1" applyFill="1" applyAlignment="1">
      <alignment horizontal="left" vertical="center"/>
    </xf>
    <xf numFmtId="0" fontId="39" fillId="10" borderId="0" xfId="0" applyFont="1" applyFill="1" applyAlignment="1">
      <alignment vertical="center"/>
    </xf>
    <xf numFmtId="0" fontId="30" fillId="0" borderId="0" xfId="43" applyFont="1" applyAlignment="1">
      <alignment horizontal="center" vertical="top"/>
    </xf>
    <xf numFmtId="0" fontId="30" fillId="0" borderId="0" xfId="43" applyFont="1" applyAlignment="1">
      <alignment vertical="top"/>
    </xf>
    <xf numFmtId="0" fontId="30" fillId="0" borderId="0" xfId="43" applyFont="1"/>
    <xf numFmtId="0" fontId="30" fillId="0" borderId="0" xfId="43" applyFont="1" applyAlignment="1">
      <alignment horizontal="center"/>
    </xf>
    <xf numFmtId="0" fontId="30" fillId="0" borderId="0" xfId="43" applyFont="1" applyAlignment="1">
      <alignment horizontal="center" vertical="center"/>
    </xf>
    <xf numFmtId="9" fontId="30" fillId="0" borderId="0" xfId="65" applyFont="1" applyFill="1" applyAlignment="1">
      <alignment horizontal="center"/>
    </xf>
    <xf numFmtId="9" fontId="30" fillId="0" borderId="0" xfId="65" applyFont="1" applyFill="1"/>
    <xf numFmtId="0" fontId="39" fillId="0" borderId="0" xfId="43" applyFont="1"/>
    <xf numFmtId="0" fontId="30" fillId="0" borderId="0" xfId="43" applyFont="1" applyAlignment="1">
      <alignment vertical="top" wrapText="1"/>
    </xf>
    <xf numFmtId="0" fontId="39" fillId="0" borderId="0" xfId="43" applyFont="1" applyAlignment="1">
      <alignment horizontal="center" vertical="top"/>
    </xf>
    <xf numFmtId="0" fontId="8" fillId="0" borderId="0" xfId="47" applyFont="1" applyAlignment="1">
      <alignment horizontal="center" vertical="center" wrapText="1"/>
    </xf>
    <xf numFmtId="0" fontId="39" fillId="0" borderId="0" xfId="43" applyFont="1" applyAlignment="1">
      <alignment horizontal="left" vertical="center"/>
    </xf>
    <xf numFmtId="196" fontId="8" fillId="0" borderId="0" xfId="47" applyNumberFormat="1" applyFont="1" applyAlignment="1">
      <alignment horizontal="center" vertical="center" wrapText="1"/>
    </xf>
    <xf numFmtId="3" fontId="39" fillId="0" borderId="0" xfId="43" applyNumberFormat="1" applyFont="1" applyAlignment="1">
      <alignment vertical="center"/>
    </xf>
    <xf numFmtId="9" fontId="8" fillId="0" borderId="0" xfId="65" applyFont="1" applyFill="1" applyAlignment="1">
      <alignment horizontal="center" vertical="center"/>
    </xf>
    <xf numFmtId="0" fontId="39" fillId="0" borderId="0" xfId="43" applyFont="1" applyAlignment="1">
      <alignment horizontal="center" vertical="center"/>
    </xf>
    <xf numFmtId="0" fontId="39" fillId="0" borderId="0" xfId="43" applyFont="1" applyAlignment="1">
      <alignment vertical="top" wrapText="1"/>
    </xf>
    <xf numFmtId="10" fontId="8" fillId="0" borderId="0" xfId="43" applyNumberFormat="1" applyFont="1" applyAlignment="1">
      <alignment horizontal="center" vertical="center"/>
    </xf>
    <xf numFmtId="0" fontId="8" fillId="0" borderId="0" xfId="43" applyFont="1" applyAlignment="1">
      <alignment horizontal="center" vertical="center" wrapText="1"/>
    </xf>
    <xf numFmtId="172" fontId="31" fillId="0" borderId="31" xfId="65" applyNumberFormat="1" applyFont="1" applyFill="1" applyBorder="1" applyAlignment="1">
      <alignment vertical="center" wrapText="1"/>
    </xf>
    <xf numFmtId="172" fontId="31" fillId="0" borderId="14" xfId="0" applyNumberFormat="1" applyFont="1" applyBorder="1" applyAlignment="1">
      <alignment vertical="center"/>
    </xf>
    <xf numFmtId="172" fontId="39" fillId="0" borderId="0" xfId="63" applyNumberFormat="1" applyFont="1" applyFill="1" applyBorder="1" applyAlignment="1">
      <alignment vertical="center"/>
    </xf>
    <xf numFmtId="14" fontId="25" fillId="0" borderId="30" xfId="48" applyNumberFormat="1" applyFont="1" applyBorder="1" applyAlignment="1">
      <alignment horizontal="center" vertical="center" wrapText="1"/>
    </xf>
    <xf numFmtId="0" fontId="0" fillId="0" borderId="30" xfId="0" applyBorder="1" applyAlignment="1">
      <alignment vertical="top" wrapText="1"/>
    </xf>
    <xf numFmtId="172" fontId="25" fillId="0" borderId="30" xfId="69" applyNumberFormat="1" applyFont="1" applyFill="1" applyBorder="1" applyAlignment="1">
      <alignment vertical="center" wrapText="1"/>
    </xf>
    <xf numFmtId="172" fontId="25" fillId="0" borderId="43" xfId="69" applyNumberFormat="1" applyFont="1" applyFill="1" applyBorder="1" applyAlignment="1">
      <alignment vertical="center" wrapText="1"/>
    </xf>
    <xf numFmtId="0" fontId="59" fillId="0" borderId="10" xfId="0" applyFont="1" applyBorder="1" applyAlignment="1">
      <alignment horizontal="left" vertical="center"/>
    </xf>
    <xf numFmtId="0" fontId="59" fillId="0" borderId="19" xfId="0" applyFont="1" applyBorder="1" applyAlignment="1">
      <alignment horizontal="center" vertical="center"/>
    </xf>
    <xf numFmtId="0" fontId="59" fillId="0" borderId="19" xfId="0" applyFont="1" applyBorder="1" applyAlignment="1">
      <alignment horizontal="left" vertical="center" wrapText="1"/>
    </xf>
    <xf numFmtId="0" fontId="37" fillId="0" borderId="0" xfId="0" applyFont="1" applyAlignment="1">
      <alignment horizontal="left" vertical="center"/>
    </xf>
    <xf numFmtId="0" fontId="60" fillId="0" borderId="18" xfId="0" applyFont="1" applyBorder="1" applyAlignment="1">
      <alignment horizontal="center" vertical="center" wrapText="1"/>
    </xf>
    <xf numFmtId="0" fontId="64" fillId="0" borderId="18" xfId="0" applyFont="1" applyBorder="1" applyAlignment="1">
      <alignment vertical="center"/>
    </xf>
    <xf numFmtId="0" fontId="60" fillId="0" borderId="18" xfId="0" applyFont="1" applyBorder="1" applyAlignment="1">
      <alignment horizontal="left" vertical="center" wrapText="1"/>
    </xf>
    <xf numFmtId="0" fontId="85" fillId="0" borderId="18" xfId="0" applyFont="1" applyBorder="1" applyAlignment="1">
      <alignment horizontal="left" vertical="center"/>
    </xf>
    <xf numFmtId="0" fontId="63" fillId="0" borderId="44" xfId="0" applyFont="1" applyBorder="1" applyAlignment="1">
      <alignment vertical="center"/>
    </xf>
    <xf numFmtId="1" fontId="63" fillId="0" borderId="10" xfId="0" applyNumberFormat="1" applyFont="1" applyBorder="1" applyAlignment="1">
      <alignment horizontal="center" vertical="center" wrapText="1"/>
    </xf>
    <xf numFmtId="0" fontId="63" fillId="0" borderId="10" xfId="0" applyFont="1" applyBorder="1" applyAlignment="1">
      <alignment vertical="center" wrapText="1"/>
    </xf>
    <xf numFmtId="0" fontId="85" fillId="0" borderId="10" xfId="0" applyFont="1" applyBorder="1" applyAlignment="1">
      <alignment horizontal="left" vertical="center"/>
    </xf>
    <xf numFmtId="0" fontId="63" fillId="0" borderId="34" xfId="0" applyFont="1" applyBorder="1" applyAlignment="1">
      <alignment horizontal="center" vertical="center"/>
    </xf>
    <xf numFmtId="1" fontId="62" fillId="0" borderId="10" xfId="0" applyNumberFormat="1" applyFont="1" applyBorder="1" applyAlignment="1">
      <alignment horizontal="center" vertical="center" wrapText="1"/>
    </xf>
    <xf numFmtId="0" fontId="62" fillId="0" borderId="34" xfId="0" applyFont="1" applyBorder="1" applyAlignment="1">
      <alignment horizontal="center" vertical="center"/>
    </xf>
    <xf numFmtId="1" fontId="60" fillId="0" borderId="10" xfId="0" applyNumberFormat="1" applyFont="1" applyBorder="1" applyAlignment="1">
      <alignment horizontal="center" vertical="center" wrapText="1"/>
    </xf>
    <xf numFmtId="0" fontId="60" fillId="0" borderId="34" xfId="0" applyFont="1" applyBorder="1" applyAlignment="1">
      <alignment horizontal="center" vertical="center"/>
    </xf>
    <xf numFmtId="0" fontId="59" fillId="0" borderId="14" xfId="0" applyFont="1" applyBorder="1" applyAlignment="1">
      <alignment vertical="center" wrapText="1"/>
    </xf>
    <xf numFmtId="0" fontId="86" fillId="0" borderId="10" xfId="0" applyFont="1" applyBorder="1" applyAlignment="1">
      <alignment vertical="center"/>
    </xf>
    <xf numFmtId="0" fontId="108" fillId="0" borderId="10" xfId="0" applyFont="1" applyBorder="1" applyAlignment="1">
      <alignment horizontal="left" vertical="center"/>
    </xf>
    <xf numFmtId="0" fontId="59" fillId="0" borderId="34" xfId="0" applyFont="1" applyBorder="1" applyAlignment="1">
      <alignment horizontal="center" vertical="center"/>
    </xf>
    <xf numFmtId="0" fontId="59" fillId="0" borderId="34" xfId="0" applyFont="1" applyBorder="1" applyAlignment="1">
      <alignment horizontal="left" vertical="top" wrapText="1"/>
    </xf>
    <xf numFmtId="0" fontId="59" fillId="0" borderId="34" xfId="0" applyFont="1" applyBorder="1" applyAlignment="1">
      <alignment horizontal="center" vertical="center" wrapText="1"/>
    </xf>
    <xf numFmtId="0" fontId="110" fillId="0" borderId="10" xfId="0" applyFont="1" applyBorder="1" applyAlignment="1">
      <alignment horizontal="left" vertical="top" wrapText="1"/>
    </xf>
    <xf numFmtId="0" fontId="110" fillId="0" borderId="14" xfId="0" applyFont="1" applyBorder="1" applyAlignment="1">
      <alignment horizontal="left" vertical="top" wrapText="1"/>
    </xf>
    <xf numFmtId="0" fontId="59" fillId="0" borderId="45" xfId="0" applyFont="1" applyBorder="1" applyAlignment="1">
      <alignment vertical="center" wrapText="1"/>
    </xf>
    <xf numFmtId="177" fontId="59" fillId="0" borderId="46" xfId="0" applyNumberFormat="1" applyFont="1" applyBorder="1" applyAlignment="1">
      <alignment horizontal="center" vertical="center"/>
    </xf>
    <xf numFmtId="1" fontId="63" fillId="0" borderId="10" xfId="0" applyNumberFormat="1" applyFont="1" applyBorder="1" applyAlignment="1">
      <alignment horizontal="center" vertical="center"/>
    </xf>
    <xf numFmtId="0" fontId="60" fillId="0" borderId="10" xfId="0" applyFont="1" applyBorder="1" applyAlignment="1">
      <alignment horizontal="left" vertical="center"/>
    </xf>
    <xf numFmtId="0" fontId="110" fillId="0" borderId="13" xfId="0" applyFont="1" applyBorder="1" applyAlignment="1">
      <alignment horizontal="left" vertical="top" wrapText="1"/>
    </xf>
    <xf numFmtId="1" fontId="62" fillId="0" borderId="10" xfId="0" applyNumberFormat="1" applyFont="1" applyBorder="1" applyAlignment="1">
      <alignment horizontal="center" vertical="center"/>
    </xf>
    <xf numFmtId="1" fontId="60" fillId="0" borderId="10" xfId="0" applyNumberFormat="1" applyFont="1" applyBorder="1" applyAlignment="1">
      <alignment horizontal="center" vertical="center"/>
    </xf>
    <xf numFmtId="0" fontId="60" fillId="0" borderId="34" xfId="0" applyFont="1" applyBorder="1" applyAlignment="1">
      <alignment horizontal="center" vertical="center" wrapText="1"/>
    </xf>
    <xf numFmtId="3" fontId="59" fillId="8" borderId="10" xfId="0" applyNumberFormat="1" applyFont="1" applyFill="1" applyBorder="1" applyAlignment="1">
      <alignment vertical="center"/>
    </xf>
    <xf numFmtId="10" fontId="59" fillId="0" borderId="10" xfId="0" applyNumberFormat="1" applyFont="1" applyBorder="1" applyAlignment="1">
      <alignment vertical="center"/>
    </xf>
    <xf numFmtId="1" fontId="60" fillId="0" borderId="10" xfId="0" applyNumberFormat="1" applyFont="1" applyBorder="1" applyAlignment="1">
      <alignment vertical="center"/>
    </xf>
    <xf numFmtId="0" fontId="59" fillId="0" borderId="14" xfId="0" applyFont="1" applyBorder="1" applyAlignment="1">
      <alignment vertical="center"/>
    </xf>
    <xf numFmtId="0" fontId="110" fillId="0" borderId="34" xfId="0" applyFont="1" applyBorder="1" applyAlignment="1">
      <alignment horizontal="left" vertical="top" wrapText="1"/>
    </xf>
    <xf numFmtId="9" fontId="60" fillId="0" borderId="10" xfId="0" applyNumberFormat="1" applyFont="1" applyBorder="1" applyAlignment="1">
      <alignment vertical="center"/>
    </xf>
    <xf numFmtId="0" fontId="59" fillId="0" borderId="13" xfId="0" applyFont="1" applyBorder="1" applyAlignment="1">
      <alignment vertical="center" wrapText="1"/>
    </xf>
    <xf numFmtId="172" fontId="59" fillId="0" borderId="14" xfId="0" applyNumberFormat="1" applyFont="1" applyBorder="1" applyAlignment="1">
      <alignment vertical="center"/>
    </xf>
    <xf numFmtId="0" fontId="86" fillId="0" borderId="14" xfId="0" applyFont="1" applyBorder="1" applyAlignment="1">
      <alignment vertical="center"/>
    </xf>
    <xf numFmtId="0" fontId="86" fillId="0" borderId="14" xfId="0" applyFont="1" applyBorder="1" applyAlignment="1">
      <alignment horizontal="center" vertical="center" wrapText="1"/>
    </xf>
    <xf numFmtId="3" fontId="59" fillId="0" borderId="14" xfId="0" applyNumberFormat="1" applyFont="1" applyBorder="1" applyAlignment="1">
      <alignment vertical="center"/>
    </xf>
    <xf numFmtId="3" fontId="59" fillId="0" borderId="49" xfId="0" applyNumberFormat="1" applyFont="1" applyBorder="1" applyAlignment="1">
      <alignment vertical="center"/>
    </xf>
    <xf numFmtId="177" fontId="59" fillId="0" borderId="47" xfId="0" applyNumberFormat="1" applyFont="1" applyBorder="1" applyAlignment="1">
      <alignment horizontal="center" vertical="center"/>
    </xf>
    <xf numFmtId="177" fontId="59" fillId="0" borderId="14" xfId="0" applyNumberFormat="1" applyFont="1" applyBorder="1" applyAlignment="1">
      <alignment horizontal="center" vertical="center"/>
    </xf>
    <xf numFmtId="0" fontId="59" fillId="0" borderId="19" xfId="0" applyFont="1" applyBorder="1" applyAlignment="1">
      <alignment horizontal="left" vertical="center"/>
    </xf>
    <xf numFmtId="0" fontId="59" fillId="0" borderId="19" xfId="0" applyFont="1" applyBorder="1" applyAlignment="1">
      <alignment vertical="center" wrapText="1"/>
    </xf>
    <xf numFmtId="0" fontId="59" fillId="0" borderId="50" xfId="0" applyFont="1" applyBorder="1" applyAlignment="1">
      <alignment vertical="center" wrapText="1"/>
    </xf>
    <xf numFmtId="0" fontId="59" fillId="0" borderId="19" xfId="0" applyFont="1" applyBorder="1" applyAlignment="1">
      <alignment vertical="center"/>
    </xf>
    <xf numFmtId="172" fontId="59" fillId="0" borderId="19" xfId="0" applyNumberFormat="1" applyFont="1" applyBorder="1" applyAlignment="1">
      <alignment vertical="center"/>
    </xf>
    <xf numFmtId="3" fontId="59" fillId="0" borderId="19" xfId="0" applyNumberFormat="1" applyFont="1" applyBorder="1" applyAlignment="1">
      <alignment vertical="center"/>
    </xf>
    <xf numFmtId="172" fontId="59" fillId="0" borderId="37" xfId="0" applyNumberFormat="1" applyFont="1" applyBorder="1" applyAlignment="1">
      <alignment vertical="center"/>
    </xf>
    <xf numFmtId="177" fontId="59" fillId="0" borderId="19" xfId="0" applyNumberFormat="1" applyFont="1" applyBorder="1" applyAlignment="1">
      <alignment horizontal="center" vertical="center"/>
    </xf>
    <xf numFmtId="0" fontId="110" fillId="0" borderId="19" xfId="0" applyFont="1" applyBorder="1" applyAlignment="1">
      <alignment horizontal="left" vertical="top" wrapText="1"/>
    </xf>
    <xf numFmtId="0" fontId="62" fillId="0" borderId="0" xfId="0" applyFont="1" applyAlignment="1">
      <alignment horizontal="left" vertical="center"/>
    </xf>
    <xf numFmtId="172" fontId="62" fillId="0" borderId="0" xfId="0" applyNumberFormat="1" applyFont="1" applyAlignment="1">
      <alignment vertical="center"/>
    </xf>
    <xf numFmtId="3" fontId="59" fillId="0" borderId="0" xfId="0" applyNumberFormat="1" applyFont="1" applyAlignment="1">
      <alignment vertical="center"/>
    </xf>
    <xf numFmtId="0" fontId="110" fillId="0" borderId="0" xfId="0" applyFont="1" applyAlignment="1">
      <alignment horizontal="left" vertical="top" wrapText="1"/>
    </xf>
    <xf numFmtId="0" fontId="62" fillId="0" borderId="0" xfId="0" applyFont="1" applyAlignment="1">
      <alignment vertical="center" wrapText="1"/>
    </xf>
    <xf numFmtId="0" fontId="60" fillId="0" borderId="0" xfId="0" applyFont="1" applyAlignment="1">
      <alignment horizontal="center" vertical="center"/>
    </xf>
    <xf numFmtId="0" fontId="60" fillId="0" borderId="0" xfId="0" applyFont="1" applyAlignment="1">
      <alignment vertical="center"/>
    </xf>
    <xf numFmtId="0" fontId="60" fillId="0" borderId="0" xfId="0" applyFont="1" applyAlignment="1">
      <alignment horizontal="left" vertical="center"/>
    </xf>
    <xf numFmtId="0" fontId="60" fillId="0" borderId="0" xfId="0" applyFont="1" applyAlignment="1">
      <alignment vertical="center" wrapText="1"/>
    </xf>
    <xf numFmtId="172" fontId="60" fillId="0" borderId="0" xfId="0" applyNumberFormat="1" applyFont="1" applyAlignment="1">
      <alignment horizontal="center" vertical="center"/>
    </xf>
    <xf numFmtId="3" fontId="60" fillId="0" borderId="0" xfId="0" applyNumberFormat="1" applyFont="1" applyAlignment="1">
      <alignment vertical="center"/>
    </xf>
    <xf numFmtId="172" fontId="60" fillId="0" borderId="0" xfId="0" applyNumberFormat="1" applyFont="1" applyAlignment="1">
      <alignment vertical="center"/>
    </xf>
    <xf numFmtId="172" fontId="60" fillId="0" borderId="0" xfId="0" applyNumberFormat="1" applyFont="1" applyAlignment="1">
      <alignment horizontal="right" vertical="center"/>
    </xf>
    <xf numFmtId="1" fontId="60" fillId="0" borderId="0" xfId="0" applyNumberFormat="1" applyFont="1" applyAlignment="1">
      <alignment horizontal="center" vertical="center"/>
    </xf>
    <xf numFmtId="0" fontId="31" fillId="0" borderId="14" xfId="0" applyFont="1" applyBorder="1" applyAlignment="1">
      <alignment horizontal="center" vertical="center"/>
    </xf>
    <xf numFmtId="0" fontId="31" fillId="0" borderId="14" xfId="0" applyFont="1" applyBorder="1" applyAlignment="1">
      <alignment vertical="center" wrapText="1"/>
    </xf>
    <xf numFmtId="0" fontId="31" fillId="0" borderId="14" xfId="0" applyFont="1" applyBorder="1" applyAlignment="1">
      <alignment horizontal="center" vertical="center" wrapText="1"/>
    </xf>
    <xf numFmtId="172" fontId="31" fillId="0" borderId="10" xfId="0" applyNumberFormat="1" applyFont="1" applyBorder="1" applyAlignment="1">
      <alignment horizontal="center" vertical="center" wrapText="1"/>
    </xf>
    <xf numFmtId="172" fontId="31" fillId="0" borderId="14" xfId="0" applyNumberFormat="1" applyFont="1" applyBorder="1" applyAlignment="1">
      <alignment horizontal="center" vertical="center" wrapText="1"/>
    </xf>
    <xf numFmtId="172" fontId="31" fillId="0" borderId="10" xfId="0" applyNumberFormat="1" applyFont="1" applyBorder="1" applyAlignment="1">
      <alignment horizontal="center" vertical="center"/>
    </xf>
    <xf numFmtId="1" fontId="25" fillId="0" borderId="30" xfId="43" applyNumberFormat="1" applyFont="1" applyBorder="1" applyAlignment="1">
      <alignment horizontal="center" vertical="center" wrapText="1"/>
    </xf>
    <xf numFmtId="0" fontId="11" fillId="0" borderId="30" xfId="43" applyFont="1" applyBorder="1" applyAlignment="1">
      <alignment horizontal="left" vertical="center" wrapText="1"/>
    </xf>
    <xf numFmtId="0" fontId="31" fillId="0" borderId="29" xfId="0" applyFont="1" applyBorder="1" applyAlignment="1">
      <alignment horizontal="center" vertical="center" wrapText="1"/>
    </xf>
    <xf numFmtId="0" fontId="31" fillId="0" borderId="33" xfId="0" applyFont="1" applyBorder="1" applyAlignment="1">
      <alignment horizontal="center" vertical="center" wrapText="1"/>
    </xf>
    <xf numFmtId="0" fontId="40" fillId="0" borderId="10" xfId="0" applyFont="1" applyBorder="1"/>
    <xf numFmtId="172" fontId="40" fillId="0" borderId="10" xfId="0" applyNumberFormat="1" applyFont="1" applyBorder="1"/>
    <xf numFmtId="0" fontId="40" fillId="0" borderId="10" xfId="0" applyFont="1" applyBorder="1" applyAlignment="1">
      <alignment wrapText="1"/>
    </xf>
    <xf numFmtId="9" fontId="25" fillId="0" borderId="30" xfId="49" applyNumberFormat="1" applyFont="1" applyBorder="1" applyAlignment="1">
      <alignment horizontal="center" vertical="center"/>
    </xf>
    <xf numFmtId="0" fontId="11" fillId="0" borderId="30" xfId="0" applyFont="1" applyBorder="1" applyAlignment="1">
      <alignment vertical="center" wrapText="1"/>
    </xf>
    <xf numFmtId="1" fontId="25" fillId="0" borderId="30" xfId="0" applyNumberFormat="1" applyFont="1" applyBorder="1" applyAlignment="1">
      <alignment horizontal="center" vertical="center" wrapText="1"/>
    </xf>
    <xf numFmtId="0" fontId="67" fillId="0" borderId="0" xfId="43" applyFont="1"/>
    <xf numFmtId="0" fontId="25" fillId="0" borderId="51" xfId="0" applyFont="1" applyBorder="1" applyAlignment="1">
      <alignment horizontal="left" vertical="center" wrapText="1"/>
    </xf>
    <xf numFmtId="3" fontId="25" fillId="0" borderId="51" xfId="0" applyNumberFormat="1" applyFont="1" applyBorder="1" applyAlignment="1">
      <alignment vertical="center"/>
    </xf>
    <xf numFmtId="0" fontId="31" fillId="0" borderId="30" xfId="44" applyFont="1" applyBorder="1" applyAlignment="1">
      <alignment vertical="top" wrapText="1"/>
    </xf>
    <xf numFmtId="14" fontId="25" fillId="0" borderId="52" xfId="44" applyNumberFormat="1" applyFont="1" applyBorder="1" applyAlignment="1">
      <alignment vertical="center"/>
    </xf>
    <xf numFmtId="0" fontId="25" fillId="0" borderId="39" xfId="44" applyFont="1" applyBorder="1" applyAlignment="1">
      <alignment vertical="top" wrapText="1"/>
    </xf>
    <xf numFmtId="172" fontId="25" fillId="0" borderId="33" xfId="0" applyNumberFormat="1" applyFont="1" applyBorder="1" applyAlignment="1">
      <alignment horizontal="center" vertical="center"/>
    </xf>
    <xf numFmtId="14" fontId="25" fillId="0" borderId="35" xfId="44" applyNumberFormat="1" applyFont="1" applyBorder="1" applyAlignment="1">
      <alignment vertical="center"/>
    </xf>
    <xf numFmtId="0" fontId="2" fillId="0" borderId="0" xfId="43" applyFont="1" applyAlignment="1">
      <alignment horizontal="center"/>
    </xf>
    <xf numFmtId="9" fontId="39" fillId="0" borderId="0" xfId="63" applyFont="1" applyBorder="1" applyAlignment="1">
      <alignment vertical="center"/>
    </xf>
    <xf numFmtId="0" fontId="84" fillId="0" borderId="18" xfId="0" applyFont="1" applyBorder="1" applyAlignment="1">
      <alignment horizontal="center" vertical="center"/>
    </xf>
    <xf numFmtId="0" fontId="83" fillId="0" borderId="18" xfId="0" applyFont="1" applyBorder="1" applyAlignment="1">
      <alignment vertical="center"/>
    </xf>
    <xf numFmtId="0" fontId="59" fillId="0" borderId="18" xfId="0" applyFont="1" applyBorder="1" applyAlignment="1">
      <alignment horizontal="right" vertical="center"/>
    </xf>
    <xf numFmtId="1" fontId="60" fillId="0" borderId="18" xfId="0" applyNumberFormat="1" applyFont="1" applyBorder="1" applyAlignment="1">
      <alignment vertical="center"/>
    </xf>
    <xf numFmtId="9" fontId="63" fillId="0" borderId="18" xfId="0" applyNumberFormat="1" applyFont="1" applyBorder="1" applyAlignment="1">
      <alignment vertical="center"/>
    </xf>
    <xf numFmtId="0" fontId="79" fillId="0" borderId="10" xfId="0" applyFont="1" applyBorder="1" applyAlignment="1">
      <alignment horizontal="center" vertical="center"/>
    </xf>
    <xf numFmtId="0" fontId="79" fillId="0" borderId="10" xfId="0" applyFont="1" applyBorder="1" applyAlignment="1">
      <alignment horizontal="left" vertical="center" wrapText="1"/>
    </xf>
    <xf numFmtId="180" fontId="60" fillId="0" borderId="10" xfId="0" applyNumberFormat="1" applyFont="1" applyBorder="1" applyAlignment="1">
      <alignment vertical="center" wrapText="1"/>
    </xf>
    <xf numFmtId="1" fontId="60" fillId="0" borderId="10" xfId="0" applyNumberFormat="1" applyFont="1" applyBorder="1" applyAlignment="1">
      <alignment horizontal="left" vertical="center" wrapText="1"/>
    </xf>
    <xf numFmtId="2" fontId="60" fillId="0" borderId="10" xfId="0" applyNumberFormat="1" applyFont="1" applyBorder="1" applyAlignment="1">
      <alignment vertical="center"/>
    </xf>
    <xf numFmtId="1" fontId="62" fillId="0" borderId="10" xfId="0" applyNumberFormat="1" applyFont="1" applyBorder="1" applyAlignment="1">
      <alignment vertical="center"/>
    </xf>
    <xf numFmtId="9" fontId="62" fillId="0" borderId="10" xfId="0" applyNumberFormat="1" applyFont="1" applyBorder="1" applyAlignment="1">
      <alignment vertical="center"/>
    </xf>
    <xf numFmtId="10" fontId="60" fillId="0" borderId="10" xfId="0" applyNumberFormat="1" applyFont="1" applyBorder="1" applyAlignment="1">
      <alignment vertical="center" wrapText="1"/>
    </xf>
    <xf numFmtId="181" fontId="60" fillId="0" borderId="10" xfId="0" applyNumberFormat="1" applyFont="1" applyBorder="1" applyAlignment="1">
      <alignment horizontal="left" vertical="center" wrapText="1"/>
    </xf>
    <xf numFmtId="0" fontId="80" fillId="0" borderId="10" xfId="0" applyFont="1" applyBorder="1" applyAlignment="1">
      <alignment horizontal="center" vertical="center"/>
    </xf>
    <xf numFmtId="0" fontId="80" fillId="0" borderId="10" xfId="0" applyFont="1" applyBorder="1" applyAlignment="1">
      <alignment vertical="center" wrapText="1"/>
    </xf>
    <xf numFmtId="14" fontId="59" fillId="0" borderId="10" xfId="0" applyNumberFormat="1" applyFont="1" applyBorder="1" applyAlignment="1">
      <alignment vertical="center"/>
    </xf>
    <xf numFmtId="3" fontId="62" fillId="0" borderId="10" xfId="0" applyNumberFormat="1" applyFont="1" applyBorder="1" applyAlignment="1">
      <alignment horizontal="center" vertical="center"/>
    </xf>
    <xf numFmtId="49" fontId="80" fillId="0" borderId="10" xfId="0" applyNumberFormat="1" applyFont="1" applyBorder="1" applyAlignment="1">
      <alignment horizontal="center" vertical="center"/>
    </xf>
    <xf numFmtId="0" fontId="80" fillId="0" borderId="10" xfId="0" applyFont="1" applyBorder="1" applyAlignment="1">
      <alignment horizontal="left" vertical="center" wrapText="1"/>
    </xf>
    <xf numFmtId="3" fontId="60" fillId="0" borderId="10" xfId="0" applyNumberFormat="1" applyFont="1" applyBorder="1" applyAlignment="1">
      <alignment horizontal="left" vertical="center" wrapText="1"/>
    </xf>
    <xf numFmtId="182" fontId="60" fillId="0" borderId="10" xfId="0" applyNumberFormat="1" applyFont="1" applyBorder="1" applyAlignment="1">
      <alignment vertical="center"/>
    </xf>
    <xf numFmtId="3" fontId="112" fillId="0" borderId="10" xfId="0" applyNumberFormat="1" applyFont="1" applyBorder="1" applyAlignment="1">
      <alignment vertical="center"/>
    </xf>
    <xf numFmtId="0" fontId="112" fillId="0" borderId="10" xfId="0" applyFont="1" applyBorder="1" applyAlignment="1">
      <alignment vertical="center"/>
    </xf>
    <xf numFmtId="3" fontId="60" fillId="0" borderId="10" xfId="0" applyNumberFormat="1" applyFont="1" applyBorder="1" applyAlignment="1">
      <alignment horizontal="center" vertical="center" wrapText="1"/>
    </xf>
    <xf numFmtId="9" fontId="59" fillId="0" borderId="10" xfId="0" applyNumberFormat="1" applyFont="1" applyBorder="1" applyAlignment="1">
      <alignment vertical="center"/>
    </xf>
    <xf numFmtId="10" fontId="59" fillId="0" borderId="10" xfId="0" applyNumberFormat="1" applyFont="1" applyBorder="1" applyAlignment="1">
      <alignment vertical="center" wrapText="1"/>
    </xf>
    <xf numFmtId="3" fontId="60" fillId="0" borderId="10" xfId="0" applyNumberFormat="1" applyFont="1" applyBorder="1" applyAlignment="1">
      <alignment horizontal="center" vertical="center"/>
    </xf>
    <xf numFmtId="183" fontId="62" fillId="0" borderId="10" xfId="0" applyNumberFormat="1" applyFont="1" applyBorder="1" applyAlignment="1">
      <alignment horizontal="right" vertical="center"/>
    </xf>
    <xf numFmtId="3" fontId="110" fillId="0" borderId="10" xfId="0" applyNumberFormat="1" applyFont="1" applyBorder="1" applyAlignment="1">
      <alignment vertical="center"/>
    </xf>
    <xf numFmtId="172" fontId="60" fillId="0" borderId="10" xfId="0" applyNumberFormat="1" applyFont="1" applyBorder="1" applyAlignment="1">
      <alignment horizontal="right" vertical="center"/>
    </xf>
    <xf numFmtId="3" fontId="65" fillId="0" borderId="10" xfId="0" applyNumberFormat="1" applyFont="1" applyBorder="1" applyAlignment="1">
      <alignment vertical="center"/>
    </xf>
    <xf numFmtId="0" fontId="65" fillId="0" borderId="10" xfId="0" applyFont="1" applyBorder="1" applyAlignment="1">
      <alignment vertical="center"/>
    </xf>
    <xf numFmtId="14" fontId="110" fillId="0" borderId="10" xfId="0" applyNumberFormat="1" applyFont="1" applyBorder="1" applyAlignment="1">
      <alignment vertical="center"/>
    </xf>
    <xf numFmtId="0" fontId="110" fillId="0" borderId="10" xfId="0" applyFont="1" applyBorder="1" applyAlignment="1">
      <alignment vertical="center"/>
    </xf>
    <xf numFmtId="3" fontId="59" fillId="0" borderId="19" xfId="0" applyNumberFormat="1" applyFont="1" applyBorder="1" applyAlignment="1">
      <alignment horizontal="center" vertical="center"/>
    </xf>
    <xf numFmtId="0" fontId="59" fillId="0" borderId="54" xfId="0" applyFont="1" applyBorder="1" applyAlignment="1">
      <alignment vertical="center"/>
    </xf>
    <xf numFmtId="9" fontId="59" fillId="0" borderId="19" xfId="0" applyNumberFormat="1" applyFont="1" applyBorder="1" applyAlignment="1">
      <alignment vertical="center"/>
    </xf>
    <xf numFmtId="1" fontId="59" fillId="0" borderId="19" xfId="0" applyNumberFormat="1" applyFont="1" applyBorder="1" applyAlignment="1">
      <alignment vertical="center"/>
    </xf>
    <xf numFmtId="14" fontId="59" fillId="0" borderId="19" xfId="0" applyNumberFormat="1" applyFont="1" applyBorder="1" applyAlignment="1">
      <alignment horizontal="center" vertical="center"/>
    </xf>
    <xf numFmtId="0" fontId="62" fillId="0" borderId="13" xfId="0" applyFont="1" applyBorder="1" applyAlignment="1">
      <alignment vertical="center"/>
    </xf>
    <xf numFmtId="0" fontId="62" fillId="0" borderId="48" xfId="0" applyFont="1" applyBorder="1" applyAlignment="1">
      <alignment vertical="center"/>
    </xf>
    <xf numFmtId="0" fontId="62" fillId="0" borderId="48" xfId="0" applyFont="1" applyBorder="1" applyAlignment="1">
      <alignment horizontal="center" vertical="center"/>
    </xf>
    <xf numFmtId="0" fontId="62" fillId="0" borderId="48" xfId="0" applyFont="1" applyBorder="1" applyAlignment="1">
      <alignment horizontal="left" vertical="center"/>
    </xf>
    <xf numFmtId="0" fontId="62" fillId="0" borderId="18" xfId="0" applyFont="1" applyBorder="1" applyAlignment="1">
      <alignment horizontal="left" vertical="center"/>
    </xf>
    <xf numFmtId="172" fontId="62" fillId="0" borderId="55" xfId="0" applyNumberFormat="1" applyFont="1" applyBorder="1" applyAlignment="1">
      <alignment vertical="center"/>
    </xf>
    <xf numFmtId="172" fontId="62" fillId="0" borderId="56" xfId="0" applyNumberFormat="1" applyFont="1" applyBorder="1" applyAlignment="1">
      <alignment vertical="center"/>
    </xf>
    <xf numFmtId="0" fontId="62" fillId="0" borderId="56" xfId="0" applyFont="1" applyBorder="1" applyAlignment="1">
      <alignment vertical="center"/>
    </xf>
    <xf numFmtId="0" fontId="62" fillId="0" borderId="15" xfId="0" applyFont="1" applyBorder="1" applyAlignment="1">
      <alignment vertical="center"/>
    </xf>
    <xf numFmtId="0" fontId="112" fillId="0" borderId="56" xfId="0" applyFont="1" applyBorder="1" applyAlignment="1">
      <alignment vertical="center"/>
    </xf>
    <xf numFmtId="0" fontId="112" fillId="0" borderId="0" xfId="0" applyFont="1" applyAlignment="1">
      <alignment vertical="center"/>
    </xf>
    <xf numFmtId="0" fontId="60" fillId="0" borderId="14" xfId="0" applyFont="1" applyBorder="1" applyAlignment="1">
      <alignment vertical="center"/>
    </xf>
    <xf numFmtId="0" fontId="62" fillId="0" borderId="13" xfId="0" applyFont="1" applyBorder="1" applyAlignment="1">
      <alignment horizontal="center" vertical="center"/>
    </xf>
    <xf numFmtId="0" fontId="60" fillId="0" borderId="13" xfId="0" applyFont="1" applyBorder="1" applyAlignment="1">
      <alignment vertical="center"/>
    </xf>
    <xf numFmtId="0" fontId="60" fillId="0" borderId="34" xfId="0" applyFont="1" applyBorder="1" applyAlignment="1">
      <alignment vertical="center"/>
    </xf>
    <xf numFmtId="0" fontId="60" fillId="0" borderId="57" xfId="0" applyFont="1" applyBorder="1" applyAlignment="1">
      <alignment vertical="center"/>
    </xf>
    <xf numFmtId="172" fontId="59" fillId="0" borderId="34" xfId="0" applyNumberFormat="1" applyFont="1" applyBorder="1" applyAlignment="1">
      <alignment horizontal="center" vertical="center"/>
    </xf>
    <xf numFmtId="3" fontId="59" fillId="0" borderId="34" xfId="0" applyNumberFormat="1" applyFont="1" applyBorder="1" applyAlignment="1">
      <alignment vertical="center"/>
    </xf>
    <xf numFmtId="172" fontId="59" fillId="0" borderId="34" xfId="0" applyNumberFormat="1" applyFont="1" applyBorder="1" applyAlignment="1">
      <alignment vertical="center"/>
    </xf>
    <xf numFmtId="0" fontId="62" fillId="0" borderId="53" xfId="0" applyFont="1" applyBorder="1" applyAlignment="1">
      <alignment horizontal="center" vertical="center"/>
    </xf>
    <xf numFmtId="0" fontId="62" fillId="0" borderId="53" xfId="0" applyFont="1" applyBorder="1" applyAlignment="1">
      <alignment vertical="center"/>
    </xf>
    <xf numFmtId="0" fontId="60" fillId="0" borderId="48" xfId="0" applyFont="1" applyBorder="1" applyAlignment="1">
      <alignment horizontal="left" vertical="center"/>
    </xf>
    <xf numFmtId="0" fontId="60" fillId="0" borderId="48" xfId="0" applyFont="1" applyBorder="1" applyAlignment="1">
      <alignment horizontal="center" vertical="center"/>
    </xf>
    <xf numFmtId="3" fontId="59" fillId="0" borderId="48" xfId="0" applyNumberFormat="1" applyFont="1" applyBorder="1" applyAlignment="1">
      <alignment vertical="center"/>
    </xf>
    <xf numFmtId="0" fontId="60" fillId="0" borderId="48" xfId="0" applyFont="1" applyBorder="1" applyAlignment="1">
      <alignment vertical="center"/>
    </xf>
    <xf numFmtId="10" fontId="79" fillId="8" borderId="0" xfId="0" applyNumberFormat="1" applyFont="1" applyFill="1" applyAlignment="1">
      <alignment vertical="center"/>
    </xf>
    <xf numFmtId="0" fontId="63" fillId="8" borderId="58" xfId="0" applyFont="1" applyFill="1" applyBorder="1" applyAlignment="1">
      <alignment vertical="center"/>
    </xf>
    <xf numFmtId="0" fontId="60" fillId="8" borderId="58" xfId="0" applyFont="1" applyFill="1" applyBorder="1" applyAlignment="1">
      <alignment vertical="center"/>
    </xf>
    <xf numFmtId="0" fontId="60" fillId="0" borderId="58" xfId="0" applyFont="1" applyBorder="1" applyAlignment="1">
      <alignment vertical="center"/>
    </xf>
    <xf numFmtId="0" fontId="60" fillId="0" borderId="58" xfId="0" applyFont="1" applyBorder="1" applyAlignment="1">
      <alignment vertical="center" wrapText="1"/>
    </xf>
    <xf numFmtId="0" fontId="77" fillId="0" borderId="58" xfId="0" applyFont="1" applyBorder="1" applyAlignment="1">
      <alignment vertical="center" wrapText="1"/>
    </xf>
    <xf numFmtId="0" fontId="60" fillId="0" borderId="58" xfId="0" applyFont="1" applyBorder="1"/>
    <xf numFmtId="0" fontId="80" fillId="0" borderId="58" xfId="0" applyFont="1" applyBorder="1" applyAlignment="1">
      <alignment vertical="center"/>
    </xf>
    <xf numFmtId="0" fontId="64" fillId="8" borderId="10" xfId="0" applyFont="1" applyFill="1" applyBorder="1" applyAlignment="1">
      <alignment horizontal="left" vertical="center"/>
    </xf>
    <xf numFmtId="10" fontId="59" fillId="0" borderId="10" xfId="0" applyNumberFormat="1" applyFont="1" applyBorder="1" applyAlignment="1">
      <alignment horizontal="center" vertical="center"/>
    </xf>
    <xf numFmtId="10" fontId="59" fillId="0" borderId="10" xfId="0" applyNumberFormat="1" applyFont="1" applyBorder="1" applyAlignment="1">
      <alignment horizontal="center" vertical="center" wrapText="1"/>
    </xf>
    <xf numFmtId="0" fontId="59" fillId="0" borderId="10" xfId="0" applyFont="1" applyBorder="1" applyAlignment="1">
      <alignment horizontal="left" vertical="top" wrapText="1"/>
    </xf>
    <xf numFmtId="0" fontId="75" fillId="0" borderId="10" xfId="0" applyFont="1" applyBorder="1" applyAlignment="1">
      <alignment vertical="top" wrapText="1"/>
    </xf>
    <xf numFmtId="0" fontId="62" fillId="0" borderId="10" xfId="0" applyFont="1" applyBorder="1"/>
    <xf numFmtId="10" fontId="110" fillId="0" borderId="10" xfId="0" applyNumberFormat="1" applyFont="1" applyBorder="1" applyAlignment="1">
      <alignment horizontal="right" vertical="center" wrapText="1"/>
    </xf>
    <xf numFmtId="10" fontId="62" fillId="0" borderId="10" xfId="0" applyNumberFormat="1" applyFont="1" applyBorder="1" applyAlignment="1">
      <alignment vertical="center"/>
    </xf>
    <xf numFmtId="0" fontId="77" fillId="0" borderId="10" xfId="0" applyFont="1" applyBorder="1" applyAlignment="1">
      <alignment horizontal="center" vertical="center"/>
    </xf>
    <xf numFmtId="10" fontId="77" fillId="0" borderId="10" xfId="0" applyNumberFormat="1" applyFont="1" applyBorder="1" applyAlignment="1">
      <alignment vertical="center"/>
    </xf>
    <xf numFmtId="10" fontId="76" fillId="0" borderId="10" xfId="0" applyNumberFormat="1" applyFont="1" applyBorder="1" applyAlignment="1">
      <alignment vertical="center"/>
    </xf>
    <xf numFmtId="172" fontId="60" fillId="0" borderId="10" xfId="0" applyNumberFormat="1" applyFont="1" applyBorder="1" applyAlignment="1">
      <alignment horizontal="center" vertical="center" wrapText="1"/>
    </xf>
    <xf numFmtId="10" fontId="75" fillId="0" borderId="10" xfId="0" applyNumberFormat="1" applyFont="1" applyBorder="1" applyAlignment="1">
      <alignment vertical="center"/>
    </xf>
    <xf numFmtId="10" fontId="78" fillId="0" borderId="10" xfId="0" applyNumberFormat="1" applyFont="1" applyBorder="1" applyAlignment="1">
      <alignment horizontal="center" vertical="center" wrapText="1"/>
    </xf>
    <xf numFmtId="9" fontId="78" fillId="0" borderId="10" xfId="0" applyNumberFormat="1" applyFont="1" applyBorder="1" applyAlignment="1">
      <alignment horizontal="center" vertical="center" wrapText="1"/>
    </xf>
    <xf numFmtId="9" fontId="78" fillId="0" borderId="10" xfId="0" applyNumberFormat="1" applyFont="1" applyBorder="1" applyAlignment="1">
      <alignment vertical="center" wrapText="1"/>
    </xf>
    <xf numFmtId="10" fontId="78" fillId="0" borderId="10" xfId="0" applyNumberFormat="1" applyFont="1" applyBorder="1" applyAlignment="1">
      <alignment vertical="center" wrapText="1"/>
    </xf>
    <xf numFmtId="1" fontId="59" fillId="8" borderId="10" xfId="0" applyNumberFormat="1" applyFont="1" applyFill="1" applyBorder="1" applyAlignment="1">
      <alignment vertical="center" wrapText="1"/>
    </xf>
    <xf numFmtId="10" fontId="75" fillId="0" borderId="10" xfId="0" applyNumberFormat="1" applyFont="1" applyBorder="1" applyAlignment="1">
      <alignment horizontal="center" vertical="center"/>
    </xf>
    <xf numFmtId="3" fontId="75" fillId="0" borderId="10" xfId="0" applyNumberFormat="1" applyFont="1" applyBorder="1" applyAlignment="1">
      <alignment horizontal="right" vertical="center"/>
    </xf>
    <xf numFmtId="0" fontId="79" fillId="0" borderId="10" xfId="0" applyFont="1" applyBorder="1" applyAlignment="1">
      <alignment horizontal="right" vertical="center"/>
    </xf>
    <xf numFmtId="10" fontId="79" fillId="0" borderId="10" xfId="0" applyNumberFormat="1" applyFont="1" applyBorder="1" applyAlignment="1">
      <alignment vertical="center"/>
    </xf>
    <xf numFmtId="0" fontId="79" fillId="0" borderId="10" xfId="0" applyFont="1" applyBorder="1" applyAlignment="1">
      <alignment vertical="center" wrapText="1"/>
    </xf>
    <xf numFmtId="9" fontId="75" fillId="8" borderId="10" xfId="0" applyNumberFormat="1" applyFont="1" applyFill="1" applyBorder="1" applyAlignment="1">
      <alignment horizontal="center" vertical="center"/>
    </xf>
    <xf numFmtId="9" fontId="75" fillId="0" borderId="10" xfId="0" applyNumberFormat="1" applyFont="1" applyBorder="1" applyAlignment="1">
      <alignment horizontal="center" vertical="center"/>
    </xf>
    <xf numFmtId="0" fontId="75" fillId="0" borderId="10" xfId="0" applyFont="1" applyBorder="1" applyAlignment="1">
      <alignment vertical="center"/>
    </xf>
    <xf numFmtId="3" fontId="75" fillId="0" borderId="10" xfId="0" applyNumberFormat="1" applyFont="1" applyBorder="1" applyAlignment="1">
      <alignment horizontal="center" vertical="center"/>
    </xf>
    <xf numFmtId="0" fontId="75" fillId="8" borderId="10" xfId="0" applyFont="1" applyFill="1" applyBorder="1" applyAlignment="1">
      <alignment horizontal="center" vertical="center"/>
    </xf>
    <xf numFmtId="0" fontId="75" fillId="8" borderId="10" xfId="0" applyFont="1" applyFill="1" applyBorder="1" applyAlignment="1">
      <alignment horizontal="center" vertical="center" wrapText="1"/>
    </xf>
    <xf numFmtId="0" fontId="75" fillId="0" borderId="10" xfId="0" applyFont="1" applyBorder="1" applyAlignment="1">
      <alignment horizontal="left" vertical="top" wrapText="1"/>
    </xf>
    <xf numFmtId="0" fontId="80" fillId="0" borderId="10" xfId="0" applyFont="1" applyBorder="1" applyAlignment="1">
      <alignment vertical="top" wrapText="1"/>
    </xf>
    <xf numFmtId="0" fontId="75" fillId="0" borderId="10" xfId="0" applyFont="1" applyBorder="1" applyAlignment="1">
      <alignment horizontal="left" wrapText="1"/>
    </xf>
    <xf numFmtId="0" fontId="75" fillId="0" borderId="10" xfId="0" applyFont="1" applyBorder="1" applyAlignment="1">
      <alignment horizontal="center" vertical="center"/>
    </xf>
    <xf numFmtId="0" fontId="87" fillId="0" borderId="18" xfId="0" applyFont="1" applyBorder="1" applyAlignment="1">
      <alignment vertical="center"/>
    </xf>
    <xf numFmtId="0" fontId="87" fillId="0" borderId="18" xfId="0" applyFont="1" applyBorder="1" applyAlignment="1">
      <alignment horizontal="center" vertical="center"/>
    </xf>
    <xf numFmtId="0" fontId="88" fillId="0" borderId="18" xfId="0" applyFont="1" applyBorder="1" applyAlignment="1">
      <alignment horizontal="left" vertical="center"/>
    </xf>
    <xf numFmtId="0" fontId="87" fillId="0" borderId="18" xfId="0" applyFont="1" applyBorder="1" applyAlignment="1">
      <alignment horizontal="left" vertical="center" wrapText="1"/>
    </xf>
    <xf numFmtId="0" fontId="87" fillId="0" borderId="18" xfId="0" applyFont="1" applyBorder="1" applyAlignment="1">
      <alignment horizontal="left" vertical="center"/>
    </xf>
    <xf numFmtId="3" fontId="37" fillId="0" borderId="18" xfId="0" applyNumberFormat="1" applyFont="1" applyBorder="1" applyAlignment="1">
      <alignment vertical="center" wrapText="1"/>
    </xf>
    <xf numFmtId="0" fontId="37" fillId="0" borderId="18" xfId="0" applyFont="1" applyBorder="1" applyAlignment="1">
      <alignment horizontal="right" vertical="center" wrapText="1"/>
    </xf>
    <xf numFmtId="0" fontId="36" fillId="0" borderId="18" xfId="0" applyFont="1" applyBorder="1" applyAlignment="1">
      <alignment horizontal="left" vertical="center" wrapText="1"/>
    </xf>
    <xf numFmtId="0" fontId="37" fillId="0" borderId="18" xfId="0" applyFont="1" applyBorder="1" applyAlignment="1">
      <alignment vertical="center"/>
    </xf>
    <xf numFmtId="0" fontId="37" fillId="0" borderId="18" xfId="0" applyFont="1" applyBorder="1" applyAlignment="1">
      <alignment horizontal="center" vertical="center"/>
    </xf>
    <xf numFmtId="0" fontId="87" fillId="0" borderId="10" xfId="0" applyFont="1" applyBorder="1" applyAlignment="1">
      <alignment vertical="center"/>
    </xf>
    <xf numFmtId="0" fontId="87" fillId="0" borderId="10" xfId="0" applyFont="1" applyBorder="1" applyAlignment="1">
      <alignment horizontal="center" vertical="center"/>
    </xf>
    <xf numFmtId="0" fontId="87" fillId="0" borderId="10" xfId="0" applyFont="1" applyBorder="1" applyAlignment="1">
      <alignment horizontal="left" vertical="center" wrapText="1"/>
    </xf>
    <xf numFmtId="0" fontId="87" fillId="0" borderId="10" xfId="0" applyFont="1" applyBorder="1" applyAlignment="1">
      <alignment horizontal="left" vertical="center"/>
    </xf>
    <xf numFmtId="3" fontId="37" fillId="0" borderId="10" xfId="0" applyNumberFormat="1" applyFont="1" applyBorder="1" applyAlignment="1">
      <alignment vertical="center" wrapText="1"/>
    </xf>
    <xf numFmtId="0" fontId="37" fillId="0" borderId="10" xfId="0" applyFont="1" applyBorder="1" applyAlignment="1">
      <alignment horizontal="right" vertical="center" wrapText="1"/>
    </xf>
    <xf numFmtId="0" fontId="37" fillId="0" borderId="10" xfId="0" applyFont="1" applyBorder="1" applyAlignment="1">
      <alignment vertical="center"/>
    </xf>
    <xf numFmtId="0" fontId="37" fillId="0" borderId="10" xfId="0" applyFont="1" applyBorder="1" applyAlignment="1">
      <alignment horizontal="center" vertical="center"/>
    </xf>
    <xf numFmtId="0" fontId="81" fillId="0" borderId="10" xfId="0" applyFont="1" applyBorder="1" applyAlignment="1">
      <alignment vertical="center"/>
    </xf>
    <xf numFmtId="0" fontId="81" fillId="0" borderId="10" xfId="0" applyFont="1" applyBorder="1" applyAlignment="1">
      <alignment horizontal="center" vertical="center" wrapText="1"/>
    </xf>
    <xf numFmtId="0" fontId="81" fillId="0" borderId="10" xfId="0" applyFont="1" applyBorder="1" applyAlignment="1">
      <alignment horizontal="left" vertical="center" wrapText="1"/>
    </xf>
    <xf numFmtId="14" fontId="37" fillId="0" borderId="10" xfId="0" applyNumberFormat="1" applyFont="1" applyBorder="1" applyAlignment="1">
      <alignment horizontal="right" vertical="center" wrapText="1"/>
    </xf>
    <xf numFmtId="14" fontId="36" fillId="0" borderId="10" xfId="0" applyNumberFormat="1" applyFont="1" applyBorder="1" applyAlignment="1">
      <alignment horizontal="right" vertical="center" wrapText="1"/>
    </xf>
    <xf numFmtId="0" fontId="37" fillId="0" borderId="10" xfId="0" applyFont="1" applyBorder="1" applyAlignment="1">
      <alignment vertical="center" wrapText="1"/>
    </xf>
    <xf numFmtId="0" fontId="37" fillId="0" borderId="10" xfId="0" applyFont="1" applyBorder="1" applyAlignment="1">
      <alignment horizontal="left" vertical="center" wrapText="1"/>
    </xf>
    <xf numFmtId="0" fontId="37" fillId="0" borderId="10" xfId="0" applyFont="1" applyBorder="1" applyAlignment="1">
      <alignment horizontal="center" vertical="center" wrapText="1"/>
    </xf>
    <xf numFmtId="172" fontId="37" fillId="0" borderId="10" xfId="0" applyNumberFormat="1" applyFont="1" applyBorder="1" applyAlignment="1">
      <alignment horizontal="right" vertical="center" wrapText="1"/>
    </xf>
    <xf numFmtId="172" fontId="36" fillId="0" borderId="10" xfId="0" applyNumberFormat="1" applyFont="1" applyBorder="1" applyAlignment="1">
      <alignment horizontal="right" vertical="center" wrapText="1"/>
    </xf>
    <xf numFmtId="172" fontId="37" fillId="0" borderId="10" xfId="0" applyNumberFormat="1" applyFont="1" applyBorder="1" applyAlignment="1">
      <alignment vertical="center"/>
    </xf>
    <xf numFmtId="0" fontId="36" fillId="0" borderId="10" xfId="0" applyFont="1" applyBorder="1" applyAlignment="1">
      <alignment horizontal="center" vertical="center"/>
    </xf>
    <xf numFmtId="3" fontId="36" fillId="0" borderId="10" xfId="0" applyNumberFormat="1" applyFont="1" applyBorder="1" applyAlignment="1">
      <alignment horizontal="center" vertical="center"/>
    </xf>
    <xf numFmtId="0" fontId="36" fillId="0" borderId="10" xfId="0" applyFont="1" applyBorder="1" applyAlignment="1">
      <alignment horizontal="left" vertical="center"/>
    </xf>
    <xf numFmtId="9" fontId="36" fillId="0" borderId="10" xfId="0" applyNumberFormat="1" applyFont="1" applyBorder="1" applyAlignment="1">
      <alignment vertical="center" wrapText="1"/>
    </xf>
    <xf numFmtId="1" fontId="36" fillId="0" borderId="10" xfId="0" applyNumberFormat="1" applyFont="1" applyBorder="1" applyAlignment="1">
      <alignment vertical="center" wrapText="1"/>
    </xf>
    <xf numFmtId="172" fontId="36" fillId="0" borderId="10" xfId="0" applyNumberFormat="1" applyFont="1" applyBorder="1" applyAlignment="1">
      <alignment vertical="center" wrapText="1"/>
    </xf>
    <xf numFmtId="3" fontId="36" fillId="0" borderId="10" xfId="0" applyNumberFormat="1" applyFont="1" applyBorder="1" applyAlignment="1">
      <alignment horizontal="right" vertical="center"/>
    </xf>
    <xf numFmtId="172" fontId="36" fillId="0" borderId="10" xfId="0" applyNumberFormat="1" applyFont="1" applyBorder="1" applyAlignment="1">
      <alignment vertical="center"/>
    </xf>
    <xf numFmtId="14" fontId="36" fillId="0" borderId="10" xfId="0" applyNumberFormat="1" applyFont="1" applyBorder="1" applyAlignment="1">
      <alignment horizontal="center" vertical="center" wrapText="1"/>
    </xf>
    <xf numFmtId="14" fontId="36" fillId="0" borderId="10" xfId="0" applyNumberFormat="1" applyFont="1" applyBorder="1" applyAlignment="1">
      <alignment horizontal="center" vertical="center"/>
    </xf>
    <xf numFmtId="3" fontId="36" fillId="0" borderId="10" xfId="0" applyNumberFormat="1" applyFont="1" applyBorder="1" applyAlignment="1">
      <alignment horizontal="center" vertical="center" wrapText="1"/>
    </xf>
    <xf numFmtId="3" fontId="36" fillId="0" borderId="10" xfId="0" applyNumberFormat="1" applyFont="1" applyBorder="1" applyAlignment="1">
      <alignment vertical="center" wrapText="1"/>
    </xf>
    <xf numFmtId="14" fontId="36" fillId="0" borderId="10" xfId="0" applyNumberFormat="1" applyFont="1" applyBorder="1" applyAlignment="1">
      <alignment horizontal="left" vertical="center" wrapText="1"/>
    </xf>
    <xf numFmtId="0" fontId="36" fillId="0" borderId="10" xfId="0" applyFont="1" applyBorder="1" applyAlignment="1">
      <alignment horizontal="center" vertical="center" wrapText="1"/>
    </xf>
    <xf numFmtId="0" fontId="36" fillId="0" borderId="10" xfId="0" applyFont="1" applyBorder="1" applyAlignment="1">
      <alignment horizontal="justify" vertical="top" wrapText="1"/>
    </xf>
    <xf numFmtId="0" fontId="31" fillId="0" borderId="10" xfId="0" applyFont="1" applyBorder="1" applyAlignment="1">
      <alignment horizontal="justify" vertical="top" wrapText="1"/>
    </xf>
    <xf numFmtId="172" fontId="37" fillId="0" borderId="10" xfId="0" applyNumberFormat="1" applyFont="1" applyBorder="1" applyAlignment="1">
      <alignment horizontal="right" vertical="center"/>
    </xf>
    <xf numFmtId="0" fontId="36" fillId="0" borderId="62" xfId="0" applyFont="1" applyBorder="1" applyAlignment="1">
      <alignment horizontal="left" vertical="center" wrapText="1"/>
    </xf>
    <xf numFmtId="0" fontId="37" fillId="0" borderId="10" xfId="0" applyFont="1" applyBorder="1" applyAlignment="1">
      <alignment horizontal="left" vertical="center"/>
    </xf>
    <xf numFmtId="3" fontId="37" fillId="0" borderId="10" xfId="0" applyNumberFormat="1" applyFont="1" applyBorder="1" applyAlignment="1">
      <alignment horizontal="center" vertical="center" wrapText="1"/>
    </xf>
    <xf numFmtId="176" fontId="37" fillId="0" borderId="10" xfId="0" applyNumberFormat="1" applyFont="1" applyBorder="1" applyAlignment="1">
      <alignment horizontal="left" vertical="center" wrapText="1"/>
    </xf>
    <xf numFmtId="176" fontId="36" fillId="0" borderId="10" xfId="0" applyNumberFormat="1" applyFont="1" applyBorder="1" applyAlignment="1">
      <alignment horizontal="left" vertical="center" wrapText="1"/>
    </xf>
    <xf numFmtId="0" fontId="36" fillId="0" borderId="10" xfId="0" applyFont="1" applyBorder="1" applyAlignment="1">
      <alignment horizontal="left" vertical="top" wrapText="1"/>
    </xf>
    <xf numFmtId="0" fontId="81" fillId="0" borderId="10" xfId="0" applyFont="1" applyBorder="1" applyAlignment="1">
      <alignment horizontal="center" vertical="center"/>
    </xf>
    <xf numFmtId="0" fontId="81" fillId="0" borderId="10" xfId="0" applyFont="1" applyBorder="1" applyAlignment="1">
      <alignment horizontal="left" vertical="center"/>
    </xf>
    <xf numFmtId="9" fontId="81" fillId="0" borderId="10" xfId="0" applyNumberFormat="1" applyFont="1" applyBorder="1" applyAlignment="1">
      <alignment horizontal="center" vertical="center" wrapText="1"/>
    </xf>
    <xf numFmtId="0" fontId="81" fillId="0" borderId="10" xfId="0" applyFont="1" applyBorder="1" applyAlignment="1">
      <alignment vertical="center" wrapText="1"/>
    </xf>
    <xf numFmtId="172" fontId="81" fillId="0" borderId="10" xfId="0" applyNumberFormat="1" applyFont="1" applyBorder="1" applyAlignment="1">
      <alignment horizontal="center" vertical="center" wrapText="1"/>
    </xf>
    <xf numFmtId="176" fontId="81" fillId="0" borderId="10" xfId="0" applyNumberFormat="1" applyFont="1" applyBorder="1" applyAlignment="1">
      <alignment horizontal="left" vertical="center" wrapText="1"/>
    </xf>
    <xf numFmtId="3" fontId="81" fillId="0" borderId="10" xfId="0" applyNumberFormat="1" applyFont="1" applyBorder="1" applyAlignment="1">
      <alignment horizontal="center" vertical="center"/>
    </xf>
    <xf numFmtId="9" fontId="81" fillId="0" borderId="10" xfId="0" applyNumberFormat="1" applyFont="1" applyBorder="1" applyAlignment="1">
      <alignment vertical="center"/>
    </xf>
    <xf numFmtId="0" fontId="42" fillId="0" borderId="10" xfId="0" applyFont="1" applyBorder="1" applyAlignment="1">
      <alignment horizontal="center" vertical="center"/>
    </xf>
    <xf numFmtId="0" fontId="37" fillId="0" borderId="13" xfId="0" applyFont="1" applyBorder="1" applyAlignment="1">
      <alignment vertical="center"/>
    </xf>
    <xf numFmtId="9" fontId="36" fillId="0" borderId="10" xfId="0" applyNumberFormat="1" applyFont="1" applyBorder="1" applyAlignment="1">
      <alignment vertical="center"/>
    </xf>
    <xf numFmtId="3" fontId="81" fillId="0" borderId="10" xfId="0" applyNumberFormat="1" applyFont="1" applyBorder="1" applyAlignment="1">
      <alignment horizontal="center" vertical="center" wrapText="1"/>
    </xf>
    <xf numFmtId="9" fontId="81" fillId="0" borderId="10" xfId="0" applyNumberFormat="1" applyFont="1" applyBorder="1" applyAlignment="1">
      <alignment vertical="center" wrapText="1"/>
    </xf>
    <xf numFmtId="14" fontId="42" fillId="0" borderId="10" xfId="0" applyNumberFormat="1" applyFont="1" applyBorder="1" applyAlignment="1">
      <alignment horizontal="center" vertical="center"/>
    </xf>
    <xf numFmtId="10" fontId="36" fillId="0" borderId="10" xfId="0" applyNumberFormat="1" applyFont="1" applyBorder="1" applyAlignment="1">
      <alignment vertical="center" wrapText="1"/>
    </xf>
    <xf numFmtId="10" fontId="36" fillId="0" borderId="10" xfId="0" applyNumberFormat="1" applyFont="1" applyBorder="1" applyAlignment="1">
      <alignment horizontal="right" vertical="center" wrapText="1"/>
    </xf>
    <xf numFmtId="3" fontId="37" fillId="0" borderId="10" xfId="0" applyNumberFormat="1" applyFont="1" applyBorder="1" applyAlignment="1">
      <alignment vertical="center"/>
    </xf>
    <xf numFmtId="0" fontId="27" fillId="0" borderId="0" xfId="0" applyFont="1" applyAlignment="1">
      <alignment vertical="center"/>
    </xf>
    <xf numFmtId="0" fontId="114" fillId="0" borderId="10" xfId="0" applyFont="1" applyBorder="1" applyAlignment="1">
      <alignment vertical="center"/>
    </xf>
    <xf numFmtId="0" fontId="28" fillId="0" borderId="10" xfId="0" applyFont="1" applyBorder="1" applyAlignment="1">
      <alignment vertical="center" wrapText="1"/>
    </xf>
    <xf numFmtId="10" fontId="37" fillId="0" borderId="10" xfId="0" applyNumberFormat="1" applyFont="1" applyBorder="1" applyAlignment="1">
      <alignment horizontal="center" vertical="center" wrapText="1"/>
    </xf>
    <xf numFmtId="172" fontId="28" fillId="0" borderId="10" xfId="0" applyNumberFormat="1" applyFont="1" applyBorder="1" applyAlignment="1">
      <alignment vertical="center" wrapText="1"/>
    </xf>
    <xf numFmtId="9" fontId="36" fillId="0" borderId="10" xfId="0" applyNumberFormat="1" applyFont="1" applyBorder="1" applyAlignment="1">
      <alignment horizontal="center" vertical="center" wrapText="1"/>
    </xf>
    <xf numFmtId="0" fontId="36" fillId="0" borderId="10" xfId="0" applyFont="1" applyBorder="1" applyAlignment="1">
      <alignment horizontal="right" vertical="center" wrapText="1"/>
    </xf>
    <xf numFmtId="9" fontId="36" fillId="0" borderId="10" xfId="0" applyNumberFormat="1" applyFont="1" applyBorder="1" applyAlignment="1">
      <alignment horizontal="right" vertical="center" wrapText="1"/>
    </xf>
    <xf numFmtId="3" fontId="36" fillId="0" borderId="10" xfId="0" applyNumberFormat="1" applyFont="1" applyBorder="1" applyAlignment="1">
      <alignment horizontal="right" vertical="center" wrapText="1"/>
    </xf>
    <xf numFmtId="0" fontId="36" fillId="0" borderId="10" xfId="0" applyFont="1" applyBorder="1" applyAlignment="1">
      <alignment vertical="top" wrapText="1"/>
    </xf>
    <xf numFmtId="3" fontId="87" fillId="0" borderId="10" xfId="0" applyNumberFormat="1" applyFont="1" applyBorder="1" applyAlignment="1">
      <alignment horizontal="center" vertical="center" wrapText="1"/>
    </xf>
    <xf numFmtId="0" fontId="87" fillId="0" borderId="10" xfId="0" applyFont="1" applyBorder="1" applyAlignment="1">
      <alignment horizontal="center" vertical="center" wrapText="1"/>
    </xf>
    <xf numFmtId="9" fontId="87" fillId="0" borderId="10" xfId="0" applyNumberFormat="1" applyFont="1" applyBorder="1" applyAlignment="1">
      <alignment vertical="center" wrapText="1"/>
    </xf>
    <xf numFmtId="0" fontId="55" fillId="0" borderId="10" xfId="0" applyFont="1" applyBorder="1" applyAlignment="1">
      <alignment horizontal="center" vertical="center" wrapText="1"/>
    </xf>
    <xf numFmtId="0" fontId="87" fillId="0" borderId="10" xfId="0" applyFont="1" applyBorder="1" applyAlignment="1">
      <alignment vertical="center" wrapText="1"/>
    </xf>
    <xf numFmtId="9" fontId="37" fillId="0" borderId="10" xfId="0" applyNumberFormat="1" applyFont="1" applyBorder="1" applyAlignment="1">
      <alignment horizontal="center" vertical="center"/>
    </xf>
    <xf numFmtId="0" fontId="31" fillId="0" borderId="10" xfId="0" applyFont="1" applyBorder="1" applyAlignment="1">
      <alignment horizontal="left" vertical="top" wrapText="1"/>
    </xf>
    <xf numFmtId="0" fontId="28" fillId="0" borderId="10" xfId="0" applyFont="1" applyBorder="1" applyAlignment="1">
      <alignment vertical="center"/>
    </xf>
    <xf numFmtId="0" fontId="36" fillId="0" borderId="10" xfId="43" applyFont="1" applyBorder="1" applyAlignment="1">
      <alignment horizontal="left" vertical="top" wrapText="1"/>
    </xf>
    <xf numFmtId="14" fontId="31" fillId="0" borderId="10" xfId="0" applyNumberFormat="1" applyFont="1" applyBorder="1" applyAlignment="1">
      <alignment horizontal="center" vertical="center" wrapText="1"/>
    </xf>
    <xf numFmtId="14" fontId="31" fillId="0" borderId="10" xfId="0" applyNumberFormat="1" applyFont="1" applyBorder="1" applyAlignment="1">
      <alignment horizontal="center" vertical="center"/>
    </xf>
    <xf numFmtId="9" fontId="81" fillId="0" borderId="10" xfId="0" applyNumberFormat="1" applyFont="1" applyBorder="1" applyAlignment="1">
      <alignment horizontal="right" vertical="center" wrapText="1"/>
    </xf>
    <xf numFmtId="0" fontId="31" fillId="0" borderId="14" xfId="0" applyFont="1" applyBorder="1" applyAlignment="1">
      <alignment horizontal="left" vertical="center" wrapText="1"/>
    </xf>
    <xf numFmtId="0" fontId="36" fillId="0" borderId="10" xfId="52" applyFont="1" applyBorder="1" applyAlignment="1">
      <alignment horizontal="left" vertical="center" wrapText="1"/>
    </xf>
    <xf numFmtId="0" fontId="8" fillId="0" borderId="10" xfId="0" applyFont="1" applyBorder="1" applyAlignment="1">
      <alignment horizontal="center" vertical="center"/>
    </xf>
    <xf numFmtId="0" fontId="8" fillId="0" borderId="10" xfId="0" applyFont="1" applyBorder="1" applyAlignment="1">
      <alignment horizontal="center" vertical="center" wrapText="1"/>
    </xf>
    <xf numFmtId="0" fontId="8" fillId="0" borderId="10" xfId="0" applyFont="1" applyBorder="1" applyAlignment="1">
      <alignment horizontal="left" vertical="center" wrapText="1"/>
    </xf>
    <xf numFmtId="0" fontId="2" fillId="0" borderId="10" xfId="0" applyFont="1" applyBorder="1" applyAlignment="1">
      <alignment vertical="center"/>
    </xf>
    <xf numFmtId="172" fontId="8" fillId="0" borderId="10" xfId="0" applyNumberFormat="1" applyFont="1" applyBorder="1" applyAlignment="1">
      <alignment horizontal="right" vertical="center"/>
    </xf>
    <xf numFmtId="172" fontId="8" fillId="0" borderId="10" xfId="0" applyNumberFormat="1" applyFont="1" applyBorder="1" applyAlignment="1">
      <alignment vertical="center"/>
    </xf>
    <xf numFmtId="0" fontId="25" fillId="0" borderId="10" xfId="0" applyFont="1" applyBorder="1" applyAlignment="1">
      <alignment horizontal="left" vertical="center"/>
    </xf>
    <xf numFmtId="172" fontId="25" fillId="0" borderId="10" xfId="0" applyNumberFormat="1" applyFont="1" applyBorder="1" applyAlignment="1">
      <alignment vertical="center" wrapText="1"/>
    </xf>
    <xf numFmtId="14" fontId="25" fillId="0" borderId="10" xfId="0" applyNumberFormat="1" applyFont="1" applyBorder="1" applyAlignment="1">
      <alignment horizontal="center" vertical="center" wrapText="1"/>
    </xf>
    <xf numFmtId="14" fontId="25" fillId="0" borderId="10" xfId="0" applyNumberFormat="1" applyFont="1" applyBorder="1" applyAlignment="1">
      <alignment horizontal="center" vertical="center"/>
    </xf>
    <xf numFmtId="0" fontId="25" fillId="0" borderId="10" xfId="0" applyFont="1" applyBorder="1" applyAlignment="1">
      <alignment vertical="top" wrapText="1"/>
    </xf>
    <xf numFmtId="3" fontId="25" fillId="0" borderId="10" xfId="0" applyNumberFormat="1" applyFont="1" applyBorder="1" applyAlignment="1">
      <alignment horizontal="center" vertical="center"/>
    </xf>
    <xf numFmtId="3" fontId="2" fillId="0" borderId="10" xfId="0" applyNumberFormat="1" applyFont="1" applyBorder="1" applyAlignment="1">
      <alignment horizontal="center" vertical="center" wrapText="1"/>
    </xf>
    <xf numFmtId="10" fontId="25" fillId="0" borderId="10" xfId="0" applyNumberFormat="1" applyFont="1" applyBorder="1" applyAlignment="1">
      <alignment vertical="center" wrapText="1"/>
    </xf>
    <xf numFmtId="9" fontId="8" fillId="0" borderId="10" xfId="0" applyNumberFormat="1" applyFont="1" applyBorder="1" applyAlignment="1">
      <alignment horizontal="center" vertical="center" wrapText="1"/>
    </xf>
    <xf numFmtId="9" fontId="25" fillId="0" borderId="10" xfId="0" applyNumberFormat="1" applyFont="1" applyBorder="1" applyAlignment="1">
      <alignment horizontal="center" vertical="center" wrapText="1"/>
    </xf>
    <xf numFmtId="172" fontId="25" fillId="0" borderId="10" xfId="0" applyNumberFormat="1" applyFont="1" applyBorder="1" applyAlignment="1">
      <alignment horizontal="center" vertical="center"/>
    </xf>
    <xf numFmtId="10" fontId="25" fillId="0" borderId="10" xfId="0" applyNumberFormat="1" applyFont="1" applyBorder="1" applyAlignment="1">
      <alignment horizontal="center" vertical="center"/>
    </xf>
    <xf numFmtId="0" fontId="31" fillId="0" borderId="8" xfId="0" applyFont="1" applyBorder="1" applyAlignment="1">
      <alignment vertical="top" wrapText="1"/>
    </xf>
    <xf numFmtId="0" fontId="36" fillId="0" borderId="8" xfId="0" applyFont="1" applyBorder="1" applyAlignment="1">
      <alignment vertical="center" wrapText="1"/>
    </xf>
    <xf numFmtId="172" fontId="36" fillId="0" borderId="10" xfId="0" applyNumberFormat="1" applyFont="1" applyBorder="1" applyAlignment="1">
      <alignment horizontal="right" vertical="center"/>
    </xf>
    <xf numFmtId="9" fontId="37" fillId="0" borderId="10" xfId="0" applyNumberFormat="1" applyFont="1" applyBorder="1" applyAlignment="1">
      <alignment horizontal="center" vertical="center" wrapText="1"/>
    </xf>
    <xf numFmtId="172" fontId="36" fillId="0" borderId="10" xfId="0" applyNumberFormat="1" applyFont="1" applyBorder="1" applyAlignment="1">
      <alignment horizontal="center" vertical="center" wrapText="1"/>
    </xf>
    <xf numFmtId="9" fontId="25" fillId="0" borderId="10" xfId="0" applyNumberFormat="1" applyFont="1" applyBorder="1" applyAlignment="1">
      <alignment horizontal="center" vertical="center"/>
    </xf>
    <xf numFmtId="9" fontId="25" fillId="0" borderId="10" xfId="0" applyNumberFormat="1" applyFont="1" applyBorder="1" applyAlignment="1">
      <alignment vertical="center"/>
    </xf>
    <xf numFmtId="179" fontId="36" fillId="0" borderId="10" xfId="0" applyNumberFormat="1" applyFont="1" applyBorder="1" applyAlignment="1">
      <alignment horizontal="center" vertical="center" wrapText="1"/>
    </xf>
    <xf numFmtId="1" fontId="36" fillId="0" borderId="10" xfId="0" applyNumberFormat="1" applyFont="1" applyBorder="1" applyAlignment="1">
      <alignment vertical="center"/>
    </xf>
    <xf numFmtId="176" fontId="36" fillId="0" borderId="10" xfId="0" applyNumberFormat="1" applyFont="1" applyBorder="1" applyAlignment="1">
      <alignment vertical="center" wrapText="1"/>
    </xf>
    <xf numFmtId="197" fontId="36" fillId="0" borderId="10" xfId="0" applyNumberFormat="1" applyFont="1" applyBorder="1" applyAlignment="1">
      <alignment vertical="center"/>
    </xf>
    <xf numFmtId="0" fontId="36" fillId="0" borderId="19" xfId="0" applyFont="1" applyBorder="1" applyAlignment="1">
      <alignment horizontal="center" vertical="center" wrapText="1"/>
    </xf>
    <xf numFmtId="3" fontId="36" fillId="0" borderId="19" xfId="0" applyNumberFormat="1" applyFont="1" applyBorder="1" applyAlignment="1">
      <alignment vertical="center" wrapText="1"/>
    </xf>
    <xf numFmtId="0" fontId="36" fillId="0" borderId="19" xfId="0" applyFont="1" applyBorder="1" applyAlignment="1">
      <alignment horizontal="left" vertical="center" wrapText="1"/>
    </xf>
    <xf numFmtId="9" fontId="36" fillId="0" borderId="19" xfId="0" applyNumberFormat="1" applyFont="1" applyBorder="1" applyAlignment="1">
      <alignment vertical="center" wrapText="1"/>
    </xf>
    <xf numFmtId="172" fontId="36" fillId="0" borderId="19" xfId="0" applyNumberFormat="1" applyFont="1" applyBorder="1" applyAlignment="1">
      <alignment vertical="center" wrapText="1"/>
    </xf>
    <xf numFmtId="3" fontId="36" fillId="0" borderId="19" xfId="0" applyNumberFormat="1" applyFont="1" applyBorder="1" applyAlignment="1">
      <alignment horizontal="right" vertical="center"/>
    </xf>
    <xf numFmtId="172" fontId="36" fillId="0" borderId="19" xfId="0" applyNumberFormat="1" applyFont="1" applyBorder="1" applyAlignment="1">
      <alignment vertical="center"/>
    </xf>
    <xf numFmtId="14" fontId="36" fillId="0" borderId="19" xfId="0" applyNumberFormat="1" applyFont="1" applyBorder="1" applyAlignment="1">
      <alignment horizontal="center" vertical="center" wrapText="1"/>
    </xf>
    <xf numFmtId="14" fontId="36" fillId="0" borderId="19" xfId="0" applyNumberFormat="1" applyFont="1" applyBorder="1" applyAlignment="1">
      <alignment horizontal="center" vertical="center"/>
    </xf>
    <xf numFmtId="0" fontId="81" fillId="0" borderId="0" xfId="0" applyFont="1" applyAlignment="1">
      <alignment vertical="center"/>
    </xf>
    <xf numFmtId="0" fontId="81" fillId="0" borderId="0" xfId="0" applyFont="1" applyAlignment="1">
      <alignment horizontal="left" vertical="center"/>
    </xf>
    <xf numFmtId="0" fontId="81" fillId="0" borderId="0" xfId="0" applyFont="1" applyAlignment="1">
      <alignment horizontal="center" vertical="center"/>
    </xf>
    <xf numFmtId="0" fontId="81" fillId="0" borderId="0" xfId="0" applyFont="1" applyAlignment="1">
      <alignment horizontal="right" vertical="center"/>
    </xf>
    <xf numFmtId="0" fontId="36" fillId="0" borderId="0" xfId="0" applyFont="1" applyAlignment="1">
      <alignment vertical="center"/>
    </xf>
    <xf numFmtId="172" fontId="81" fillId="0" borderId="0" xfId="0" applyNumberFormat="1" applyFont="1" applyAlignment="1">
      <alignment vertical="center"/>
    </xf>
    <xf numFmtId="0" fontId="81" fillId="0" borderId="0" xfId="0" applyFont="1" applyAlignment="1">
      <alignment vertical="center" wrapText="1"/>
    </xf>
    <xf numFmtId="0" fontId="81" fillId="0" borderId="0" xfId="0" applyFont="1" applyAlignment="1">
      <alignment horizontal="center" vertical="center" wrapText="1"/>
    </xf>
    <xf numFmtId="0" fontId="115" fillId="0" borderId="0" xfId="0" applyFont="1" applyAlignment="1">
      <alignment vertical="center"/>
    </xf>
    <xf numFmtId="172" fontId="37" fillId="0" borderId="0" xfId="0" applyNumberFormat="1" applyFont="1" applyAlignment="1">
      <alignment horizontal="center" vertical="center"/>
    </xf>
    <xf numFmtId="3" fontId="116" fillId="0" borderId="0" xfId="0" applyNumberFormat="1" applyFont="1" applyAlignment="1">
      <alignment vertical="center"/>
    </xf>
    <xf numFmtId="172" fontId="117" fillId="0" borderId="0" xfId="0" applyNumberFormat="1" applyFont="1" applyAlignment="1">
      <alignment vertical="center"/>
    </xf>
    <xf numFmtId="0" fontId="37" fillId="0" borderId="0" xfId="0" applyFont="1" applyAlignment="1">
      <alignment vertical="center" wrapText="1"/>
    </xf>
    <xf numFmtId="0" fontId="37" fillId="0" borderId="0" xfId="0" applyFont="1" applyAlignment="1">
      <alignment horizontal="center" vertical="center" wrapText="1"/>
    </xf>
    <xf numFmtId="0" fontId="37" fillId="0" borderId="24" xfId="0" applyFont="1" applyBorder="1" applyAlignment="1">
      <alignment vertical="center"/>
    </xf>
    <xf numFmtId="3" fontId="37" fillId="0" borderId="0" xfId="0" applyNumberFormat="1" applyFont="1" applyAlignment="1">
      <alignment vertical="center"/>
    </xf>
    <xf numFmtId="0" fontId="59" fillId="0" borderId="14" xfId="0" applyFont="1" applyBorder="1" applyAlignment="1">
      <alignment horizontal="center" vertical="center"/>
    </xf>
    <xf numFmtId="172" fontId="59" fillId="0" borderId="14" xfId="0" applyNumberFormat="1" applyFont="1" applyBorder="1" applyAlignment="1">
      <alignment horizontal="center" vertical="center"/>
    </xf>
    <xf numFmtId="0" fontId="59" fillId="8" borderId="10" xfId="0" applyFont="1" applyFill="1" applyBorder="1" applyAlignment="1">
      <alignment horizontal="left" vertical="center" wrapText="1"/>
    </xf>
    <xf numFmtId="0" fontId="32" fillId="0" borderId="42" xfId="0" applyFont="1" applyBorder="1" applyAlignment="1">
      <alignment horizontal="center" vertical="center" wrapText="1"/>
    </xf>
    <xf numFmtId="0" fontId="32" fillId="0" borderId="42" xfId="0" applyFont="1" applyBorder="1" applyAlignment="1">
      <alignment horizontal="left" vertical="center" wrapText="1"/>
    </xf>
    <xf numFmtId="9" fontId="31" fillId="0" borderId="30" xfId="65" applyFont="1" applyFill="1" applyBorder="1" applyAlignment="1">
      <alignment horizontal="right" vertical="center" wrapText="1"/>
    </xf>
    <xf numFmtId="9" fontId="31" fillId="0" borderId="30" xfId="65" applyFont="1" applyFill="1" applyBorder="1" applyAlignment="1">
      <alignment horizontal="center" vertical="center" wrapText="1"/>
    </xf>
    <xf numFmtId="172" fontId="31" fillId="0" borderId="30" xfId="65" applyNumberFormat="1" applyFont="1" applyFill="1" applyBorder="1" applyAlignment="1">
      <alignment vertical="center" wrapText="1"/>
    </xf>
    <xf numFmtId="9" fontId="31" fillId="0" borderId="30" xfId="65" applyFont="1" applyFill="1" applyBorder="1" applyAlignment="1">
      <alignment vertical="center" wrapText="1"/>
    </xf>
    <xf numFmtId="0" fontId="25" fillId="0" borderId="27" xfId="49" applyFont="1" applyBorder="1" applyAlignment="1">
      <alignment horizontal="center" vertical="center" wrapText="1"/>
    </xf>
    <xf numFmtId="1" fontId="25" fillId="0" borderId="27" xfId="43" applyNumberFormat="1" applyFont="1" applyBorder="1" applyAlignment="1">
      <alignment horizontal="center" vertical="center" wrapText="1"/>
    </xf>
    <xf numFmtId="0" fontId="11" fillId="0" borderId="27" xfId="43" applyFont="1" applyBorder="1" applyAlignment="1">
      <alignment horizontal="left" vertical="center" wrapText="1"/>
    </xf>
    <xf numFmtId="0" fontId="31" fillId="0" borderId="15" xfId="0" applyFont="1" applyBorder="1" applyAlignment="1">
      <alignment horizontal="center" vertical="center" wrapText="1"/>
    </xf>
    <xf numFmtId="0" fontId="31" fillId="0" borderId="13" xfId="0" applyFont="1" applyBorder="1" applyAlignment="1">
      <alignment horizontal="center" vertical="center" wrapText="1"/>
    </xf>
    <xf numFmtId="9" fontId="25" fillId="0" borderId="30" xfId="65" applyFont="1" applyFill="1" applyBorder="1" applyAlignment="1">
      <alignment horizontal="center" vertical="center"/>
    </xf>
    <xf numFmtId="172" fontId="31" fillId="0" borderId="30" xfId="65" applyNumberFormat="1" applyFont="1" applyFill="1" applyBorder="1" applyAlignment="1">
      <alignment horizontal="right" vertical="center" wrapText="1"/>
    </xf>
    <xf numFmtId="9" fontId="31" fillId="0" borderId="30" xfId="65" applyFont="1" applyFill="1" applyBorder="1" applyAlignment="1">
      <alignment vertical="center"/>
    </xf>
    <xf numFmtId="0" fontId="25" fillId="0" borderId="33" xfId="44" applyFont="1" applyBorder="1" applyAlignment="1">
      <alignment horizontal="center" vertical="center" wrapText="1"/>
    </xf>
    <xf numFmtId="9" fontId="31" fillId="0" borderId="31" xfId="65" applyFont="1" applyFill="1" applyBorder="1" applyAlignment="1">
      <alignment horizontal="right" vertical="center" wrapText="1"/>
    </xf>
    <xf numFmtId="3" fontId="25" fillId="0" borderId="31" xfId="49" applyNumberFormat="1" applyFont="1" applyBorder="1" applyAlignment="1">
      <alignment vertical="center" wrapText="1"/>
    </xf>
    <xf numFmtId="9" fontId="31" fillId="0" borderId="0" xfId="65" applyFont="1" applyFill="1" applyBorder="1" applyAlignment="1">
      <alignment vertical="center" wrapText="1"/>
    </xf>
    <xf numFmtId="172" fontId="31" fillId="0" borderId="0" xfId="65" applyNumberFormat="1" applyFont="1" applyFill="1" applyBorder="1" applyAlignment="1">
      <alignment vertical="center" wrapText="1"/>
    </xf>
    <xf numFmtId="0" fontId="2" fillId="0" borderId="30" xfId="44" applyFont="1" applyBorder="1" applyAlignment="1">
      <alignment horizontal="right" vertical="center" wrapText="1"/>
    </xf>
    <xf numFmtId="0" fontId="39" fillId="0" borderId="13" xfId="0" applyFont="1" applyBorder="1" applyAlignment="1">
      <alignment horizontal="center" vertical="center" wrapText="1"/>
    </xf>
    <xf numFmtId="0" fontId="8" fillId="0" borderId="30" xfId="44" applyFont="1" applyBorder="1" applyAlignment="1">
      <alignment horizontal="right" vertical="center" wrapText="1"/>
    </xf>
    <xf numFmtId="0" fontId="31" fillId="0" borderId="42" xfId="0" applyFont="1" applyBorder="1" applyAlignment="1">
      <alignment horizontal="center" vertical="center" wrapText="1"/>
    </xf>
    <xf numFmtId="0" fontId="11" fillId="0" borderId="42" xfId="43" applyFont="1" applyBorder="1" applyAlignment="1">
      <alignment horizontal="center" vertical="center" wrapText="1"/>
    </xf>
    <xf numFmtId="0" fontId="118" fillId="0" borderId="42" xfId="43" applyFont="1" applyBorder="1" applyAlignment="1">
      <alignment vertical="center" wrapText="1"/>
    </xf>
    <xf numFmtId="0" fontId="31" fillId="0" borderId="42" xfId="0" applyFont="1" applyBorder="1" applyAlignment="1">
      <alignment horizontal="left" vertical="center" wrapText="1"/>
    </xf>
    <xf numFmtId="0" fontId="31" fillId="0" borderId="42" xfId="0" applyFont="1" applyBorder="1" applyAlignment="1">
      <alignment vertical="center" wrapText="1"/>
    </xf>
    <xf numFmtId="3" fontId="31" fillId="0" borderId="42" xfId="0" applyNumberFormat="1" applyFont="1" applyBorder="1" applyAlignment="1">
      <alignment vertical="center" wrapText="1"/>
    </xf>
    <xf numFmtId="9" fontId="31" fillId="0" borderId="42" xfId="65" applyFont="1" applyFill="1" applyBorder="1" applyAlignment="1">
      <alignment horizontal="left" vertical="center" wrapText="1"/>
    </xf>
    <xf numFmtId="9" fontId="31" fillId="0" borderId="42" xfId="65" applyFont="1" applyFill="1" applyBorder="1" applyAlignment="1">
      <alignment vertical="center" wrapText="1"/>
    </xf>
    <xf numFmtId="14" fontId="31" fillId="0" borderId="42" xfId="0" applyNumberFormat="1" applyFont="1" applyBorder="1" applyAlignment="1">
      <alignment vertical="center" wrapText="1"/>
    </xf>
    <xf numFmtId="0" fontId="11" fillId="0" borderId="30" xfId="43" applyFont="1" applyBorder="1" applyAlignment="1">
      <alignment horizontal="center" vertical="center" wrapText="1"/>
    </xf>
    <xf numFmtId="0" fontId="11" fillId="0" borderId="30" xfId="43" applyFont="1" applyBorder="1" applyAlignment="1">
      <alignment vertical="center" wrapText="1"/>
    </xf>
    <xf numFmtId="9" fontId="31" fillId="0" borderId="30" xfId="65" applyFont="1" applyFill="1" applyBorder="1" applyAlignment="1">
      <alignment horizontal="left" vertical="center" wrapText="1"/>
    </xf>
    <xf numFmtId="0" fontId="118" fillId="0" borderId="30" xfId="43" applyFont="1" applyBorder="1" applyAlignment="1">
      <alignment vertical="center" wrapText="1"/>
    </xf>
    <xf numFmtId="9" fontId="25" fillId="0" borderId="30" xfId="65" applyFont="1" applyFill="1" applyBorder="1" applyAlignment="1">
      <alignment vertical="center" wrapText="1"/>
    </xf>
    <xf numFmtId="14" fontId="25" fillId="0" borderId="30" xfId="0" applyNumberFormat="1" applyFont="1" applyBorder="1" applyAlignment="1">
      <alignment vertical="center" wrapText="1"/>
    </xf>
    <xf numFmtId="0" fontId="31" fillId="0" borderId="0" xfId="0" applyFont="1" applyAlignment="1">
      <alignment horizontal="left" vertical="center"/>
    </xf>
    <xf numFmtId="0" fontId="36" fillId="0" borderId="0" xfId="0" applyFont="1" applyAlignment="1">
      <alignment horizontal="center" vertical="center"/>
    </xf>
    <xf numFmtId="172" fontId="31" fillId="0" borderId="0" xfId="0" applyNumberFormat="1" applyFont="1" applyAlignment="1">
      <alignment horizontal="center" vertical="center"/>
    </xf>
    <xf numFmtId="0" fontId="36" fillId="0" borderId="0" xfId="0" applyFont="1" applyAlignment="1">
      <alignment horizontal="right" vertical="center"/>
    </xf>
    <xf numFmtId="1" fontId="36" fillId="0" borderId="0" xfId="0" applyNumberFormat="1" applyFont="1" applyAlignment="1">
      <alignment horizontal="center" vertical="center"/>
    </xf>
    <xf numFmtId="0" fontId="31" fillId="0" borderId="0" xfId="0" applyFont="1"/>
    <xf numFmtId="0" fontId="31" fillId="0" borderId="30" xfId="0" applyFont="1" applyBorder="1" applyAlignment="1">
      <alignment vertical="top" wrapText="1"/>
    </xf>
    <xf numFmtId="0" fontId="31" fillId="0" borderId="10" xfId="0" applyFont="1" applyBorder="1" applyAlignment="1">
      <alignment vertical="top" wrapText="1"/>
    </xf>
    <xf numFmtId="0" fontId="25" fillId="0" borderId="30" xfId="0" applyFont="1" applyBorder="1" applyAlignment="1">
      <alignment vertical="top" wrapText="1"/>
    </xf>
    <xf numFmtId="0" fontId="82" fillId="0" borderId="10" xfId="0" applyFont="1" applyBorder="1" applyAlignment="1">
      <alignment horizontal="left" vertical="center" wrapText="1"/>
    </xf>
    <xf numFmtId="0" fontId="82" fillId="0" borderId="10" xfId="0" applyFont="1" applyBorder="1" applyAlignment="1">
      <alignment vertical="center"/>
    </xf>
    <xf numFmtId="3" fontId="82" fillId="0" borderId="10" xfId="0" applyNumberFormat="1" applyFont="1" applyBorder="1" applyAlignment="1">
      <alignment vertical="center" wrapText="1"/>
    </xf>
    <xf numFmtId="0" fontId="31" fillId="0" borderId="10" xfId="0" applyFont="1" applyBorder="1" applyAlignment="1">
      <alignment horizontal="right" vertical="center"/>
    </xf>
    <xf numFmtId="9" fontId="31" fillId="0" borderId="14" xfId="0" applyNumberFormat="1" applyFont="1" applyBorder="1" applyAlignment="1">
      <alignment horizontal="center" vertical="center"/>
    </xf>
    <xf numFmtId="0" fontId="39" fillId="0" borderId="14" xfId="0" applyFont="1" applyBorder="1" applyAlignment="1">
      <alignment horizontal="center" vertical="center"/>
    </xf>
    <xf numFmtId="0" fontId="39" fillId="0" borderId="13" xfId="0" applyFont="1" applyBorder="1" applyAlignment="1">
      <alignment vertical="center" wrapText="1"/>
    </xf>
    <xf numFmtId="9" fontId="39" fillId="0" borderId="10" xfId="0" applyNumberFormat="1" applyFont="1" applyBorder="1" applyAlignment="1">
      <alignment horizontal="right" vertical="center"/>
    </xf>
    <xf numFmtId="0" fontId="39" fillId="0" borderId="34" xfId="0" applyFont="1" applyBorder="1" applyAlignment="1">
      <alignment horizontal="center" vertical="center"/>
    </xf>
    <xf numFmtId="0" fontId="31" fillId="0" borderId="15" xfId="0" applyFont="1" applyBorder="1" applyAlignment="1">
      <alignment vertical="center" wrapText="1"/>
    </xf>
    <xf numFmtId="0" fontId="39" fillId="8" borderId="10" xfId="0" applyFont="1" applyFill="1" applyBorder="1" applyAlignment="1">
      <alignment horizontal="center" vertical="center"/>
    </xf>
    <xf numFmtId="0" fontId="82" fillId="0" borderId="13" xfId="0" applyFont="1" applyBorder="1" applyAlignment="1">
      <alignment horizontal="center" vertical="center"/>
    </xf>
    <xf numFmtId="0" fontId="82" fillId="0" borderId="13" xfId="0" applyFont="1" applyBorder="1" applyAlignment="1">
      <alignment vertical="center"/>
    </xf>
    <xf numFmtId="0" fontId="82" fillId="0" borderId="10" xfId="0" applyFont="1" applyBorder="1" applyAlignment="1">
      <alignment horizontal="right" vertical="center"/>
    </xf>
    <xf numFmtId="0" fontId="68" fillId="0" borderId="10" xfId="0" applyFont="1" applyBorder="1" applyAlignment="1">
      <alignment vertical="center"/>
    </xf>
    <xf numFmtId="3" fontId="31" fillId="0" borderId="14" xfId="0" applyNumberFormat="1" applyFont="1" applyBorder="1" applyAlignment="1">
      <alignment horizontal="center" vertical="center"/>
    </xf>
    <xf numFmtId="0" fontId="82" fillId="0" borderId="10" xfId="0" applyFont="1" applyBorder="1" applyAlignment="1">
      <alignment horizontal="center" vertical="center"/>
    </xf>
    <xf numFmtId="0" fontId="31" fillId="0" borderId="13" xfId="0" applyFont="1" applyBorder="1" applyAlignment="1">
      <alignment horizontal="left" vertical="center" wrapText="1"/>
    </xf>
    <xf numFmtId="9" fontId="31" fillId="0" borderId="10" xfId="0" applyNumberFormat="1" applyFont="1" applyBorder="1"/>
    <xf numFmtId="0" fontId="31" fillId="0" borderId="13" xfId="0" applyFont="1" applyBorder="1" applyAlignment="1">
      <alignment vertical="center" wrapText="1"/>
    </xf>
    <xf numFmtId="0" fontId="39" fillId="0" borderId="34" xfId="0" applyFont="1" applyBorder="1" applyAlignment="1">
      <alignment vertical="center" wrapText="1"/>
    </xf>
    <xf numFmtId="0" fontId="32" fillId="8" borderId="10" xfId="0" applyFont="1" applyFill="1" applyBorder="1" applyAlignment="1">
      <alignment horizontal="center" vertical="center"/>
    </xf>
    <xf numFmtId="0" fontId="30" fillId="8" borderId="10" xfId="0" applyFont="1" applyFill="1" applyBorder="1" applyAlignment="1">
      <alignment horizontal="center" vertical="center"/>
    </xf>
    <xf numFmtId="0" fontId="39" fillId="8" borderId="10" xfId="0" applyFont="1" applyFill="1" applyBorder="1" applyAlignment="1">
      <alignment horizontal="center" vertical="center" wrapText="1"/>
    </xf>
    <xf numFmtId="0" fontId="81" fillId="8" borderId="10" xfId="0" applyFont="1" applyFill="1" applyBorder="1" applyAlignment="1">
      <alignment horizontal="center" vertical="center"/>
    </xf>
    <xf numFmtId="0" fontId="31" fillId="0" borderId="13" xfId="0" applyFont="1" applyBorder="1" applyAlignment="1">
      <alignment horizontal="center" vertical="center"/>
    </xf>
    <xf numFmtId="0" fontId="30" fillId="0" borderId="13" xfId="0" applyFont="1" applyBorder="1" applyAlignment="1">
      <alignment horizontal="right" vertical="center"/>
    </xf>
    <xf numFmtId="9" fontId="30" fillId="0" borderId="10" xfId="0" applyNumberFormat="1" applyFont="1" applyBorder="1" applyAlignment="1">
      <alignment horizontal="right" vertical="center"/>
    </xf>
    <xf numFmtId="3" fontId="31" fillId="0" borderId="14" xfId="0" applyNumberFormat="1" applyFont="1" applyBorder="1" applyAlignment="1">
      <alignment vertical="center"/>
    </xf>
    <xf numFmtId="0" fontId="31" fillId="0" borderId="45" xfId="0" applyFont="1" applyBorder="1" applyAlignment="1">
      <alignment horizontal="center" vertical="center"/>
    </xf>
    <xf numFmtId="3" fontId="31" fillId="0" borderId="13" xfId="0" applyNumberFormat="1" applyFont="1" applyBorder="1" applyAlignment="1">
      <alignment horizontal="center" vertical="center"/>
    </xf>
    <xf numFmtId="3" fontId="31" fillId="0" borderId="13" xfId="0" applyNumberFormat="1" applyFont="1" applyBorder="1" applyAlignment="1">
      <alignment vertical="center"/>
    </xf>
    <xf numFmtId="0" fontId="31" fillId="0" borderId="46" xfId="0" applyFont="1" applyBorder="1" applyAlignment="1">
      <alignment horizontal="center" vertical="center"/>
    </xf>
    <xf numFmtId="172" fontId="31" fillId="0" borderId="34" xfId="0" applyNumberFormat="1" applyFont="1" applyBorder="1" applyAlignment="1">
      <alignment horizontal="right" vertical="center"/>
    </xf>
    <xf numFmtId="0" fontId="31" fillId="0" borderId="15" xfId="0" applyFont="1" applyBorder="1" applyAlignment="1">
      <alignment horizontal="center" vertical="center"/>
    </xf>
    <xf numFmtId="0" fontId="39" fillId="0" borderId="13" xfId="0" applyFont="1" applyBorder="1" applyAlignment="1">
      <alignment horizontal="center" vertical="center"/>
    </xf>
    <xf numFmtId="0" fontId="39" fillId="0" borderId="18" xfId="0" applyFont="1" applyBorder="1" applyAlignment="1">
      <alignment horizontal="center" vertical="center" wrapText="1"/>
    </xf>
    <xf numFmtId="0" fontId="88" fillId="0" borderId="18" xfId="0" applyFont="1" applyBorder="1" applyAlignment="1">
      <alignment vertical="center"/>
    </xf>
    <xf numFmtId="0" fontId="119" fillId="0" borderId="10" xfId="0" applyFont="1" applyBorder="1" applyAlignment="1">
      <alignment horizontal="left" vertical="center" wrapText="1"/>
    </xf>
    <xf numFmtId="0" fontId="119" fillId="0" borderId="10" xfId="0" applyFont="1" applyBorder="1" applyAlignment="1">
      <alignment vertical="center"/>
    </xf>
    <xf numFmtId="3" fontId="119" fillId="0" borderId="10" xfId="0" applyNumberFormat="1" applyFont="1" applyBorder="1" applyAlignment="1">
      <alignment vertical="center" wrapText="1"/>
    </xf>
    <xf numFmtId="0" fontId="119" fillId="0" borderId="14" xfId="0" applyFont="1" applyBorder="1" applyAlignment="1">
      <alignment vertical="center"/>
    </xf>
    <xf numFmtId="1" fontId="31" fillId="0" borderId="14" xfId="0" applyNumberFormat="1" applyFont="1" applyBorder="1" applyAlignment="1">
      <alignment horizontal="center" vertical="center"/>
    </xf>
    <xf numFmtId="0" fontId="120" fillId="0" borderId="14" xfId="0" applyFont="1" applyBorder="1" applyAlignment="1">
      <alignment vertical="center"/>
    </xf>
    <xf numFmtId="0" fontId="121" fillId="0" borderId="46" xfId="0" applyFont="1" applyBorder="1" applyAlignment="1">
      <alignment vertical="center"/>
    </xf>
    <xf numFmtId="0" fontId="36" fillId="0" borderId="63" xfId="0" applyFont="1" applyBorder="1" applyAlignment="1">
      <alignment horizontal="left" vertical="center" wrapText="1"/>
    </xf>
    <xf numFmtId="1" fontId="36" fillId="0" borderId="10" xfId="0" applyNumberFormat="1" applyFont="1" applyBorder="1" applyAlignment="1">
      <alignment horizontal="center" vertical="center"/>
    </xf>
    <xf numFmtId="0" fontId="36" fillId="0" borderId="34" xfId="0" applyFont="1" applyBorder="1" applyAlignment="1">
      <alignment horizontal="right" vertical="center"/>
    </xf>
    <xf numFmtId="9" fontId="36" fillId="0" borderId="10" xfId="0" applyNumberFormat="1" applyFont="1" applyBorder="1" applyAlignment="1">
      <alignment horizontal="right" vertical="center"/>
    </xf>
    <xf numFmtId="0" fontId="36" fillId="0" borderId="10" xfId="0" applyFont="1" applyBorder="1" applyAlignment="1">
      <alignment horizontal="right" vertical="center"/>
    </xf>
    <xf numFmtId="184" fontId="36" fillId="0" borderId="64" xfId="0" applyNumberFormat="1" applyFont="1" applyBorder="1" applyAlignment="1">
      <alignment horizontal="right" vertical="center"/>
    </xf>
    <xf numFmtId="184" fontId="36" fillId="0" borderId="10" xfId="0" applyNumberFormat="1" applyFont="1" applyBorder="1" applyAlignment="1">
      <alignment horizontal="right" vertical="center"/>
    </xf>
    <xf numFmtId="49" fontId="36" fillId="0" borderId="15" xfId="0" applyNumberFormat="1" applyFont="1" applyBorder="1" applyAlignment="1">
      <alignment horizontal="left" vertical="center" wrapText="1"/>
    </xf>
    <xf numFmtId="1" fontId="31" fillId="0" borderId="65" xfId="0" applyNumberFormat="1" applyFont="1" applyBorder="1" applyAlignment="1">
      <alignment horizontal="center" vertical="center"/>
    </xf>
    <xf numFmtId="175" fontId="39" fillId="0" borderId="13" xfId="0" applyNumberFormat="1" applyFont="1" applyBorder="1" applyAlignment="1">
      <alignment vertical="center" wrapText="1"/>
    </xf>
    <xf numFmtId="175" fontId="31" fillId="0" borderId="15" xfId="0" applyNumberFormat="1" applyFont="1" applyBorder="1" applyAlignment="1">
      <alignment vertical="center" wrapText="1"/>
    </xf>
    <xf numFmtId="184" fontId="31" fillId="0" borderId="14" xfId="0" applyNumberFormat="1" applyFont="1" applyBorder="1" applyAlignment="1">
      <alignment horizontal="right" vertical="center"/>
    </xf>
    <xf numFmtId="184" fontId="31" fillId="0" borderId="10" xfId="0" applyNumberFormat="1" applyFont="1" applyBorder="1" applyAlignment="1">
      <alignment horizontal="right" vertical="center"/>
    </xf>
    <xf numFmtId="0" fontId="31" fillId="0" borderId="66" xfId="0" applyFont="1" applyBorder="1" applyAlignment="1">
      <alignment horizontal="center" vertical="center"/>
    </xf>
    <xf numFmtId="0" fontId="31" fillId="0" borderId="63" xfId="0" applyFont="1" applyBorder="1" applyAlignment="1">
      <alignment horizontal="left" vertical="center" wrapText="1"/>
    </xf>
    <xf numFmtId="175" fontId="31" fillId="0" borderId="10" xfId="0" applyNumberFormat="1" applyFont="1" applyBorder="1" applyAlignment="1">
      <alignment vertical="center" wrapText="1"/>
    </xf>
    <xf numFmtId="0" fontId="31" fillId="0" borderId="34" xfId="0" applyFont="1" applyBorder="1" applyAlignment="1">
      <alignment vertical="center" wrapText="1"/>
    </xf>
    <xf numFmtId="0" fontId="31" fillId="0" borderId="34" xfId="0" applyFont="1" applyBorder="1" applyAlignment="1">
      <alignment horizontal="right" vertical="center"/>
    </xf>
    <xf numFmtId="184" fontId="31" fillId="0" borderId="67" xfId="0" applyNumberFormat="1" applyFont="1" applyBorder="1" applyAlignment="1">
      <alignment horizontal="right" vertical="center"/>
    </xf>
    <xf numFmtId="49" fontId="31" fillId="0" borderId="15" xfId="0" applyNumberFormat="1" applyFont="1" applyBorder="1" applyAlignment="1">
      <alignment horizontal="left" vertical="center" wrapText="1"/>
    </xf>
    <xf numFmtId="3" fontId="31" fillId="0" borderId="65" xfId="0" applyNumberFormat="1" applyFont="1" applyBorder="1" applyAlignment="1">
      <alignment horizontal="center" vertical="center"/>
    </xf>
    <xf numFmtId="3" fontId="82" fillId="0" borderId="10" xfId="0" applyNumberFormat="1" applyFont="1" applyBorder="1" applyAlignment="1">
      <alignment horizontal="right" vertical="center"/>
    </xf>
    <xf numFmtId="172" fontId="82" fillId="0" borderId="10" xfId="0" applyNumberFormat="1" applyFont="1" applyBorder="1" applyAlignment="1">
      <alignment horizontal="right" vertical="center"/>
    </xf>
    <xf numFmtId="172" fontId="82" fillId="0" borderId="10" xfId="0" applyNumberFormat="1" applyFont="1" applyBorder="1" applyAlignment="1">
      <alignment horizontal="center" vertical="center"/>
    </xf>
    <xf numFmtId="0" fontId="68" fillId="0" borderId="14" xfId="0" applyFont="1" applyBorder="1" applyAlignment="1">
      <alignment vertical="center"/>
    </xf>
    <xf numFmtId="0" fontId="31" fillId="0" borderId="46" xfId="0" applyFont="1" applyBorder="1" applyAlignment="1">
      <alignment vertical="center" wrapText="1"/>
    </xf>
    <xf numFmtId="3" fontId="31" fillId="0" borderId="34" xfId="0" applyNumberFormat="1" applyFont="1" applyBorder="1" applyAlignment="1">
      <alignment horizontal="right" vertical="center"/>
    </xf>
    <xf numFmtId="184" fontId="31" fillId="0" borderId="64" xfId="0" applyNumberFormat="1" applyFont="1" applyBorder="1" applyAlignment="1">
      <alignment horizontal="right" vertical="center"/>
    </xf>
    <xf numFmtId="0" fontId="82" fillId="0" borderId="65" xfId="0" applyFont="1" applyBorder="1" applyAlignment="1">
      <alignment vertical="center"/>
    </xf>
    <xf numFmtId="185" fontId="31" fillId="0" borderId="13" xfId="0" applyNumberFormat="1" applyFont="1" applyBorder="1" applyAlignment="1">
      <alignment horizontal="center" vertical="center"/>
    </xf>
    <xf numFmtId="0" fontId="82" fillId="0" borderId="57" xfId="0" applyFont="1" applyBorder="1" applyAlignment="1">
      <alignment vertical="center"/>
    </xf>
    <xf numFmtId="0" fontId="82" fillId="0" borderId="34" xfId="0" applyFont="1" applyBorder="1" applyAlignment="1">
      <alignment horizontal="right" vertical="center"/>
    </xf>
    <xf numFmtId="0" fontId="39" fillId="0" borderId="49" xfId="0" applyFont="1" applyBorder="1" applyAlignment="1">
      <alignment vertical="center"/>
    </xf>
    <xf numFmtId="0" fontId="31" fillId="0" borderId="68" xfId="0" applyFont="1" applyBorder="1" applyAlignment="1">
      <alignment vertical="center" wrapText="1"/>
    </xf>
    <xf numFmtId="0" fontId="31" fillId="0" borderId="47" xfId="0" applyFont="1" applyBorder="1" applyAlignment="1">
      <alignment horizontal="right" vertical="center"/>
    </xf>
    <xf numFmtId="0" fontId="39" fillId="0" borderId="46" xfId="0" applyFont="1" applyBorder="1" applyAlignment="1">
      <alignment horizontal="center" vertical="center"/>
    </xf>
    <xf numFmtId="9" fontId="31" fillId="0" borderId="34" xfId="0" applyNumberFormat="1" applyFont="1" applyBorder="1" applyAlignment="1">
      <alignment horizontal="right" vertical="center"/>
    </xf>
    <xf numFmtId="0" fontId="31" fillId="0" borderId="48" xfId="0" applyFont="1" applyBorder="1" applyAlignment="1">
      <alignment horizontal="right" vertical="center"/>
    </xf>
    <xf numFmtId="2" fontId="31" fillId="0" borderId="10" xfId="0" applyNumberFormat="1" applyFont="1" applyBorder="1" applyAlignment="1">
      <alignment horizontal="right" vertical="center"/>
    </xf>
    <xf numFmtId="3" fontId="31" fillId="0" borderId="14" xfId="0" applyNumberFormat="1" applyFont="1" applyBorder="1" applyAlignment="1">
      <alignment horizontal="right" vertical="center"/>
    </xf>
    <xf numFmtId="172" fontId="82" fillId="0" borderId="15" xfId="0" applyNumberFormat="1" applyFont="1" applyBorder="1"/>
    <xf numFmtId="0" fontId="39" fillId="0" borderId="14" xfId="0" applyFont="1" applyBorder="1" applyAlignment="1">
      <alignment vertical="center"/>
    </xf>
    <xf numFmtId="1" fontId="31" fillId="0" borderId="46" xfId="0" applyNumberFormat="1" applyFont="1" applyBorder="1" applyAlignment="1">
      <alignment horizontal="center" vertical="center"/>
    </xf>
    <xf numFmtId="0" fontId="31" fillId="0" borderId="49" xfId="0" applyFont="1" applyBorder="1" applyAlignment="1">
      <alignment horizontal="center" vertical="center"/>
    </xf>
    <xf numFmtId="0" fontId="31" fillId="0" borderId="67" xfId="0" applyFont="1" applyBorder="1" applyAlignment="1">
      <alignment vertical="center" wrapText="1"/>
    </xf>
    <xf numFmtId="49" fontId="36" fillId="0" borderId="10" xfId="0" applyNumberFormat="1" applyFont="1" applyBorder="1" applyAlignment="1">
      <alignment horizontal="left" vertical="center" wrapText="1"/>
    </xf>
    <xf numFmtId="185" fontId="31" fillId="0" borderId="10" xfId="0" applyNumberFormat="1" applyFont="1" applyBorder="1" applyAlignment="1">
      <alignment horizontal="center" vertical="center"/>
    </xf>
    <xf numFmtId="9" fontId="31" fillId="0" borderId="46" xfId="0" applyNumberFormat="1" applyFont="1" applyBorder="1" applyAlignment="1">
      <alignment horizontal="center" vertical="center"/>
    </xf>
    <xf numFmtId="175" fontId="39" fillId="0" borderId="10" xfId="0" applyNumberFormat="1" applyFont="1" applyBorder="1" applyAlignment="1">
      <alignment vertical="center" wrapText="1"/>
    </xf>
    <xf numFmtId="185" fontId="39" fillId="0" borderId="10" xfId="0" applyNumberFormat="1" applyFont="1" applyBorder="1" applyAlignment="1">
      <alignment horizontal="right" vertical="center"/>
    </xf>
    <xf numFmtId="3" fontId="39" fillId="0" borderId="10" xfId="0" applyNumberFormat="1" applyFont="1" applyBorder="1" applyAlignment="1">
      <alignment horizontal="right" vertical="center"/>
    </xf>
    <xf numFmtId="175" fontId="31" fillId="0" borderId="53" xfId="0" applyNumberFormat="1" applyFont="1" applyBorder="1" applyAlignment="1">
      <alignment vertical="center" wrapText="1"/>
    </xf>
    <xf numFmtId="0" fontId="33" fillId="0" borderId="10" xfId="0" applyFont="1" applyBorder="1" applyAlignment="1">
      <alignment horizontal="left" vertical="center"/>
    </xf>
    <xf numFmtId="185" fontId="31" fillId="0" borderId="48" xfId="0" applyNumberFormat="1" applyFont="1" applyBorder="1" applyAlignment="1">
      <alignment horizontal="center" vertical="center"/>
    </xf>
    <xf numFmtId="0" fontId="122" fillId="0" borderId="13" xfId="0" applyFont="1" applyBorder="1" applyAlignment="1">
      <alignment vertical="center"/>
    </xf>
    <xf numFmtId="0" fontId="122" fillId="0" borderId="34" xfId="0" applyFont="1" applyBorder="1" applyAlignment="1">
      <alignment vertical="center"/>
    </xf>
    <xf numFmtId="0" fontId="122" fillId="0" borderId="10" xfId="0" applyFont="1" applyBorder="1" applyAlignment="1">
      <alignment horizontal="right" vertical="center"/>
    </xf>
    <xf numFmtId="3" fontId="122" fillId="0" borderId="10" xfId="0" applyNumberFormat="1" applyFont="1" applyBorder="1" applyAlignment="1">
      <alignment horizontal="right" vertical="center"/>
    </xf>
    <xf numFmtId="172" fontId="122" fillId="0" borderId="10" xfId="0" applyNumberFormat="1" applyFont="1" applyBorder="1" applyAlignment="1">
      <alignment horizontal="right" vertical="center"/>
    </xf>
    <xf numFmtId="172" fontId="122" fillId="0" borderId="10" xfId="0" applyNumberFormat="1" applyFont="1" applyBorder="1" applyAlignment="1">
      <alignment horizontal="center" vertical="center"/>
    </xf>
    <xf numFmtId="0" fontId="32" fillId="0" borderId="10" xfId="0" applyFont="1" applyBorder="1" applyAlignment="1">
      <alignment horizontal="left" vertical="center"/>
    </xf>
    <xf numFmtId="185" fontId="31" fillId="0" borderId="65" xfId="0" applyNumberFormat="1" applyFont="1" applyBorder="1" applyAlignment="1">
      <alignment horizontal="center" vertical="center"/>
    </xf>
    <xf numFmtId="0" fontId="123" fillId="0" borderId="34" xfId="0" applyFont="1" applyBorder="1" applyAlignment="1">
      <alignment vertical="center"/>
    </xf>
    <xf numFmtId="0" fontId="123" fillId="0" borderId="10" xfId="0" applyFont="1" applyBorder="1" applyAlignment="1">
      <alignment horizontal="right" vertical="center"/>
    </xf>
    <xf numFmtId="3" fontId="123" fillId="0" borderId="10" xfId="0" applyNumberFormat="1" applyFont="1" applyBorder="1" applyAlignment="1">
      <alignment horizontal="right" vertical="center"/>
    </xf>
    <xf numFmtId="172" fontId="123" fillId="0" borderId="10" xfId="0" applyNumberFormat="1" applyFont="1" applyBorder="1" applyAlignment="1">
      <alignment horizontal="right" vertical="center"/>
    </xf>
    <xf numFmtId="172" fontId="123" fillId="0" borderId="10" xfId="0" applyNumberFormat="1" applyFont="1" applyBorder="1" applyAlignment="1">
      <alignment horizontal="center" vertical="center"/>
    </xf>
    <xf numFmtId="0" fontId="56" fillId="0" borderId="13" xfId="0" applyFont="1" applyBorder="1" applyAlignment="1">
      <alignment vertical="center"/>
    </xf>
    <xf numFmtId="0" fontId="123" fillId="0" borderId="10" xfId="0" applyFont="1" applyBorder="1" applyAlignment="1">
      <alignment vertical="center"/>
    </xf>
    <xf numFmtId="0" fontId="31" fillId="0" borderId="14" xfId="0" applyFont="1" applyBorder="1" applyAlignment="1">
      <alignment horizontal="right" vertical="center"/>
    </xf>
    <xf numFmtId="0" fontId="30" fillId="0" borderId="13" xfId="0" applyFont="1" applyBorder="1" applyAlignment="1">
      <alignment vertical="center" wrapText="1"/>
    </xf>
    <xf numFmtId="3" fontId="30" fillId="0" borderId="10" xfId="0" applyNumberFormat="1" applyFont="1" applyBorder="1" applyAlignment="1">
      <alignment horizontal="right" vertical="center"/>
    </xf>
    <xf numFmtId="172" fontId="30" fillId="0" borderId="10" xfId="0" applyNumberFormat="1" applyFont="1" applyBorder="1" applyAlignment="1">
      <alignment horizontal="center" vertical="center"/>
    </xf>
    <xf numFmtId="3" fontId="30" fillId="0" borderId="14" xfId="0" applyNumberFormat="1" applyFont="1" applyBorder="1" applyAlignment="1">
      <alignment horizontal="right" vertical="center"/>
    </xf>
    <xf numFmtId="172" fontId="30" fillId="0" borderId="14" xfId="0" applyNumberFormat="1" applyFont="1" applyBorder="1" applyAlignment="1">
      <alignment horizontal="center" vertical="center"/>
    </xf>
    <xf numFmtId="0" fontId="30" fillId="0" borderId="14" xfId="0" applyFont="1" applyBorder="1" applyAlignment="1">
      <alignment vertical="center" wrapText="1"/>
    </xf>
    <xf numFmtId="184" fontId="31" fillId="0" borderId="49" xfId="0" applyNumberFormat="1" applyFont="1" applyBorder="1" applyAlignment="1">
      <alignment horizontal="right" vertical="center"/>
    </xf>
    <xf numFmtId="49" fontId="36" fillId="0" borderId="13" xfId="0" applyNumberFormat="1" applyFont="1" applyBorder="1" applyAlignment="1">
      <alignment horizontal="left" vertical="center" wrapText="1"/>
    </xf>
    <xf numFmtId="49" fontId="31" fillId="0" borderId="13" xfId="0" applyNumberFormat="1" applyFont="1" applyBorder="1" applyAlignment="1">
      <alignment horizontal="left" vertical="center" wrapText="1"/>
    </xf>
    <xf numFmtId="0" fontId="31" fillId="0" borderId="57" xfId="0" applyFont="1" applyBorder="1" applyAlignment="1">
      <alignment horizontal="center" vertical="center"/>
    </xf>
    <xf numFmtId="0" fontId="39" fillId="0" borderId="34" xfId="0" applyFont="1" applyBorder="1" applyAlignment="1">
      <alignment horizontal="right" vertical="center"/>
    </xf>
    <xf numFmtId="3" fontId="39" fillId="0" borderId="13" xfId="0" applyNumberFormat="1" applyFont="1" applyBorder="1" applyAlignment="1">
      <alignment horizontal="right" vertical="center"/>
    </xf>
    <xf numFmtId="172" fontId="39" fillId="0" borderId="13" xfId="0" applyNumberFormat="1" applyFont="1" applyBorder="1" applyAlignment="1">
      <alignment horizontal="center" vertical="center"/>
    </xf>
    <xf numFmtId="0" fontId="39" fillId="0" borderId="34" xfId="0" applyFont="1" applyBorder="1" applyAlignment="1">
      <alignment vertical="center"/>
    </xf>
    <xf numFmtId="2" fontId="31" fillId="0" borderId="47" xfId="0" applyNumberFormat="1" applyFont="1" applyBorder="1" applyAlignment="1">
      <alignment horizontal="center" vertical="center"/>
    </xf>
    <xf numFmtId="0" fontId="31" fillId="0" borderId="65" xfId="0" applyFont="1" applyBorder="1" applyAlignment="1">
      <alignment horizontal="center" vertical="center"/>
    </xf>
    <xf numFmtId="0" fontId="31" fillId="0" borderId="48" xfId="0" applyFont="1" applyBorder="1" applyAlignment="1">
      <alignment vertical="center" wrapText="1"/>
    </xf>
    <xf numFmtId="2" fontId="31" fillId="0" borderId="66" xfId="0" applyNumberFormat="1" applyFont="1" applyBorder="1" applyAlignment="1">
      <alignment horizontal="center" vertical="center"/>
    </xf>
    <xf numFmtId="172" fontId="31" fillId="0" borderId="67" xfId="0" applyNumberFormat="1" applyFont="1" applyBorder="1" applyAlignment="1">
      <alignment horizontal="right" vertical="center"/>
    </xf>
    <xf numFmtId="0" fontId="39" fillId="0" borderId="46" xfId="0" applyFont="1" applyBorder="1" applyAlignment="1">
      <alignment horizontal="center" vertical="center" wrapText="1"/>
    </xf>
    <xf numFmtId="172" fontId="31" fillId="0" borderId="69" xfId="0" applyNumberFormat="1" applyFont="1" applyBorder="1" applyAlignment="1">
      <alignment horizontal="center" vertical="center"/>
    </xf>
    <xf numFmtId="0" fontId="39" fillId="0" borderId="48" xfId="0" applyFont="1" applyBorder="1" applyAlignment="1">
      <alignment horizontal="center" vertical="center"/>
    </xf>
    <xf numFmtId="9" fontId="39" fillId="0" borderId="14" xfId="0" applyNumberFormat="1" applyFont="1" applyBorder="1" applyAlignment="1">
      <alignment horizontal="right" vertical="center"/>
    </xf>
    <xf numFmtId="0" fontId="39" fillId="0" borderId="53" xfId="0" applyFont="1" applyBorder="1" applyAlignment="1">
      <alignment vertical="center"/>
    </xf>
    <xf numFmtId="0" fontId="31" fillId="0" borderId="47" xfId="0" applyFont="1" applyBorder="1" applyAlignment="1">
      <alignment horizontal="left" vertical="center" wrapText="1"/>
    </xf>
    <xf numFmtId="0" fontId="31" fillId="0" borderId="68" xfId="0" applyFont="1" applyBorder="1" applyAlignment="1">
      <alignment horizontal="right" vertical="center"/>
    </xf>
    <xf numFmtId="172" fontId="31" fillId="0" borderId="66" xfId="0" applyNumberFormat="1" applyFont="1" applyBorder="1" applyAlignment="1">
      <alignment horizontal="center" vertical="center"/>
    </xf>
    <xf numFmtId="0" fontId="31" fillId="0" borderId="46" xfId="0" applyFont="1" applyBorder="1" applyAlignment="1">
      <alignment horizontal="right" vertical="center"/>
    </xf>
    <xf numFmtId="1" fontId="31" fillId="0" borderId="34" xfId="0" applyNumberFormat="1" applyFont="1" applyBorder="1" applyAlignment="1">
      <alignment horizontal="right" vertical="center"/>
    </xf>
    <xf numFmtId="0" fontId="30" fillId="0" borderId="68" xfId="0" applyFont="1" applyBorder="1" applyAlignment="1">
      <alignment vertical="center"/>
    </xf>
    <xf numFmtId="49" fontId="25" fillId="0" borderId="27" xfId="44" applyNumberFormat="1" applyFont="1" applyBorder="1" applyAlignment="1">
      <alignment vertical="center"/>
    </xf>
    <xf numFmtId="14" fontId="25" fillId="0" borderId="30" xfId="0" applyNumberFormat="1" applyFont="1" applyBorder="1" applyAlignment="1">
      <alignment horizontal="right" vertical="center"/>
    </xf>
    <xf numFmtId="9" fontId="31" fillId="0" borderId="31" xfId="0" applyNumberFormat="1" applyFont="1" applyBorder="1" applyAlignment="1">
      <alignment vertical="center"/>
    </xf>
    <xf numFmtId="10" fontId="39" fillId="0" borderId="0" xfId="68" applyNumberFormat="1" applyFont="1" applyAlignment="1">
      <alignment vertical="center"/>
    </xf>
    <xf numFmtId="0" fontId="33" fillId="0" borderId="10" xfId="0" applyFont="1" applyBorder="1" applyAlignment="1">
      <alignment vertical="center"/>
    </xf>
    <xf numFmtId="1" fontId="82" fillId="0" borderId="10" xfId="0" applyNumberFormat="1" applyFont="1" applyBorder="1" applyAlignment="1">
      <alignment horizontal="center" vertical="center"/>
    </xf>
    <xf numFmtId="9" fontId="39" fillId="0" borderId="10" xfId="0" applyNumberFormat="1" applyFont="1" applyBorder="1" applyAlignment="1">
      <alignment horizontal="left" vertical="center" wrapText="1"/>
    </xf>
    <xf numFmtId="0" fontId="82" fillId="0" borderId="15" xfId="0" applyFont="1" applyBorder="1" applyAlignment="1">
      <alignment vertical="center"/>
    </xf>
    <xf numFmtId="0" fontId="30" fillId="0" borderId="10" xfId="0" applyFont="1" applyBorder="1" applyAlignment="1">
      <alignment horizontal="left" vertical="center"/>
    </xf>
    <xf numFmtId="1" fontId="39" fillId="0" borderId="10" xfId="0" applyNumberFormat="1" applyFont="1" applyBorder="1" applyAlignment="1">
      <alignment horizontal="center" vertical="center"/>
    </xf>
    <xf numFmtId="49" fontId="31" fillId="0" borderId="10" xfId="0" applyNumberFormat="1" applyFont="1" applyBorder="1" applyAlignment="1">
      <alignment horizontal="center" vertical="center"/>
    </xf>
    <xf numFmtId="0" fontId="68" fillId="0" borderId="10" xfId="0" applyFont="1" applyBorder="1" applyAlignment="1">
      <alignment vertical="center" wrapText="1"/>
    </xf>
    <xf numFmtId="49" fontId="36" fillId="0" borderId="10" xfId="0" applyNumberFormat="1" applyFont="1" applyBorder="1" applyAlignment="1">
      <alignment horizontal="right" vertical="center" wrapText="1"/>
    </xf>
    <xf numFmtId="49" fontId="31" fillId="0" borderId="10" xfId="0" applyNumberFormat="1" applyFont="1" applyBorder="1" applyAlignment="1">
      <alignment horizontal="left" vertical="center" wrapText="1"/>
    </xf>
    <xf numFmtId="49" fontId="31" fillId="0" borderId="10" xfId="0" applyNumberFormat="1" applyFont="1" applyBorder="1" applyAlignment="1">
      <alignment horizontal="center" vertical="center" wrapText="1"/>
    </xf>
    <xf numFmtId="49" fontId="31" fillId="0" borderId="10" xfId="0" applyNumberFormat="1" applyFont="1" applyBorder="1" applyAlignment="1">
      <alignment horizontal="right" vertical="center" wrapText="1"/>
    </xf>
    <xf numFmtId="1" fontId="31" fillId="8" borderId="10" xfId="0" applyNumberFormat="1" applyFont="1" applyFill="1" applyBorder="1" applyAlignment="1">
      <alignment horizontal="right" vertical="center" wrapText="1"/>
    </xf>
    <xf numFmtId="3" fontId="31" fillId="8" borderId="10" xfId="0" applyNumberFormat="1" applyFont="1" applyFill="1" applyBorder="1" applyAlignment="1">
      <alignment horizontal="right" vertical="center" wrapText="1"/>
    </xf>
    <xf numFmtId="9" fontId="31" fillId="8" borderId="10" xfId="0" applyNumberFormat="1" applyFont="1" applyFill="1" applyBorder="1" applyAlignment="1">
      <alignment vertical="center"/>
    </xf>
    <xf numFmtId="198" fontId="31" fillId="0" borderId="10" xfId="0" applyNumberFormat="1" applyFont="1" applyBorder="1" applyAlignment="1">
      <alignment vertical="center"/>
    </xf>
    <xf numFmtId="0" fontId="31" fillId="8" borderId="10" xfId="0" applyFont="1" applyFill="1" applyBorder="1" applyAlignment="1">
      <alignment vertical="center" wrapText="1"/>
    </xf>
    <xf numFmtId="0" fontId="97" fillId="0" borderId="13" xfId="0" applyFont="1" applyBorder="1"/>
    <xf numFmtId="0" fontId="68" fillId="0" borderId="10" xfId="0" applyFont="1" applyBorder="1" applyAlignment="1">
      <alignment horizontal="center" vertical="center"/>
    </xf>
    <xf numFmtId="186" fontId="31" fillId="0" borderId="10" xfId="0" applyNumberFormat="1" applyFont="1" applyBorder="1" applyAlignment="1">
      <alignment horizontal="left" vertical="center" wrapText="1"/>
    </xf>
    <xf numFmtId="9" fontId="31" fillId="0" borderId="10" xfId="0" applyNumberFormat="1" applyFont="1" applyBorder="1" applyAlignment="1">
      <alignment horizontal="left" vertical="center" wrapText="1"/>
    </xf>
    <xf numFmtId="0" fontId="68" fillId="0" borderId="10" xfId="0" applyFont="1" applyBorder="1" applyAlignment="1">
      <alignment horizontal="center" vertical="center" wrapText="1"/>
    </xf>
    <xf numFmtId="1" fontId="82" fillId="0" borderId="10" xfId="0" applyNumberFormat="1" applyFont="1" applyBorder="1" applyAlignment="1">
      <alignment horizontal="center" vertical="center" wrapText="1"/>
    </xf>
    <xf numFmtId="0" fontId="82" fillId="0" borderId="10" xfId="0" applyFont="1" applyBorder="1" applyAlignment="1">
      <alignment vertical="center" wrapText="1"/>
    </xf>
    <xf numFmtId="1" fontId="36" fillId="0" borderId="10" xfId="0" applyNumberFormat="1" applyFont="1" applyBorder="1" applyAlignment="1">
      <alignment horizontal="center" vertical="center" wrapText="1"/>
    </xf>
    <xf numFmtId="9" fontId="31" fillId="8" borderId="10" xfId="0" applyNumberFormat="1" applyFont="1" applyFill="1" applyBorder="1" applyAlignment="1">
      <alignment horizontal="right" vertical="center" wrapText="1"/>
    </xf>
    <xf numFmtId="0" fontId="36" fillId="8" borderId="10" xfId="0" applyFont="1" applyFill="1" applyBorder="1" applyAlignment="1">
      <alignment horizontal="center" vertical="center" wrapText="1"/>
    </xf>
    <xf numFmtId="0" fontId="36" fillId="8" borderId="10" xfId="0" applyFont="1" applyFill="1" applyBorder="1" applyAlignment="1">
      <alignment vertical="center" wrapText="1"/>
    </xf>
    <xf numFmtId="9" fontId="36" fillId="8" borderId="10" xfId="0" applyNumberFormat="1" applyFont="1" applyFill="1" applyBorder="1" applyAlignment="1">
      <alignment vertical="center" wrapText="1"/>
    </xf>
    <xf numFmtId="198" fontId="31" fillId="0" borderId="10" xfId="0" applyNumberFormat="1" applyFont="1" applyBorder="1"/>
    <xf numFmtId="0" fontId="31" fillId="0" borderId="10" xfId="0" applyFont="1" applyBorder="1"/>
    <xf numFmtId="0" fontId="39" fillId="0" borderId="10" xfId="0" applyFont="1" applyBorder="1"/>
    <xf numFmtId="0" fontId="57" fillId="0" borderId="10" xfId="0" applyFont="1" applyBorder="1" applyAlignment="1">
      <alignment horizontal="center" vertical="center"/>
    </xf>
    <xf numFmtId="9" fontId="31" fillId="0" borderId="10" xfId="0" applyNumberFormat="1" applyFont="1" applyBorder="1" applyAlignment="1">
      <alignment horizontal="center" vertical="center" wrapText="1"/>
    </xf>
    <xf numFmtId="10" fontId="31" fillId="0" borderId="10" xfId="0" applyNumberFormat="1" applyFont="1" applyBorder="1" applyAlignment="1">
      <alignment vertical="center"/>
    </xf>
    <xf numFmtId="10" fontId="31" fillId="0" borderId="10" xfId="0" applyNumberFormat="1" applyFont="1" applyBorder="1" applyAlignment="1">
      <alignment vertical="center" wrapText="1"/>
    </xf>
    <xf numFmtId="10" fontId="31" fillId="0" borderId="10" xfId="0" applyNumberFormat="1" applyFont="1" applyBorder="1" applyAlignment="1">
      <alignment horizontal="right" vertical="center" wrapText="1"/>
    </xf>
    <xf numFmtId="1" fontId="39" fillId="0" borderId="0" xfId="0" applyNumberFormat="1" applyFont="1" applyAlignment="1">
      <alignment horizontal="center"/>
    </xf>
    <xf numFmtId="9" fontId="39" fillId="0" borderId="0" xfId="0" applyNumberFormat="1" applyFont="1"/>
    <xf numFmtId="198" fontId="39" fillId="0" borderId="0" xfId="0" applyNumberFormat="1" applyFont="1"/>
    <xf numFmtId="0" fontId="31" fillId="0" borderId="0" xfId="0" applyFont="1" applyAlignment="1">
      <alignment horizontal="center" vertical="top"/>
    </xf>
    <xf numFmtId="0" fontId="31" fillId="0" borderId="0" xfId="0" applyFont="1" applyAlignment="1">
      <alignment vertical="top"/>
    </xf>
    <xf numFmtId="1" fontId="31" fillId="0" borderId="0" xfId="0" applyNumberFormat="1" applyFont="1" applyAlignment="1">
      <alignment horizontal="center"/>
    </xf>
    <xf numFmtId="0" fontId="31" fillId="0" borderId="0" xfId="0" applyFont="1" applyAlignment="1">
      <alignment horizontal="center"/>
    </xf>
    <xf numFmtId="0" fontId="31" fillId="0" borderId="0" xfId="0" applyFont="1" applyAlignment="1">
      <alignment horizontal="left" vertical="top"/>
    </xf>
    <xf numFmtId="9" fontId="31" fillId="0" borderId="0" xfId="0" applyNumberFormat="1" applyFont="1"/>
    <xf numFmtId="10" fontId="31" fillId="0" borderId="0" xfId="0" applyNumberFormat="1" applyFont="1"/>
    <xf numFmtId="3" fontId="31" fillId="0" borderId="0" xfId="0" applyNumberFormat="1" applyFont="1"/>
    <xf numFmtId="0" fontId="31" fillId="0" borderId="0" xfId="0" applyFont="1" applyAlignment="1">
      <alignment vertical="top" wrapText="1"/>
    </xf>
    <xf numFmtId="172" fontId="31" fillId="0" borderId="34" xfId="0" applyNumberFormat="1" applyFont="1" applyBorder="1" applyAlignment="1">
      <alignment horizontal="right"/>
    </xf>
    <xf numFmtId="177" fontId="31" fillId="0" borderId="10" xfId="0" applyNumberFormat="1" applyFont="1" applyBorder="1" applyAlignment="1">
      <alignment horizontal="center" vertical="center"/>
    </xf>
    <xf numFmtId="0" fontId="31" fillId="0" borderId="10" xfId="0" applyFont="1" applyBorder="1" applyAlignment="1">
      <alignment horizontal="left" vertical="center"/>
    </xf>
    <xf numFmtId="3" fontId="31" fillId="0" borderId="10" xfId="0" applyNumberFormat="1" applyFont="1" applyBorder="1" applyAlignment="1">
      <alignment horizontal="left" vertical="center" wrapText="1"/>
    </xf>
    <xf numFmtId="0" fontId="31" fillId="4" borderId="10" xfId="0" applyFont="1" applyFill="1" applyBorder="1" applyAlignment="1">
      <alignment vertical="center"/>
    </xf>
    <xf numFmtId="0" fontId="25" fillId="0" borderId="0" xfId="44" applyFont="1" applyAlignment="1">
      <alignment vertical="center"/>
    </xf>
    <xf numFmtId="0" fontId="25" fillId="0" borderId="0" xfId="43" applyFont="1" applyAlignment="1">
      <alignment horizontal="center" vertical="center"/>
    </xf>
    <xf numFmtId="0" fontId="34" fillId="0" borderId="70" xfId="0" applyFont="1" applyBorder="1" applyAlignment="1">
      <alignment horizontal="center" vertical="center"/>
    </xf>
    <xf numFmtId="0" fontId="34" fillId="0" borderId="70" xfId="0" applyFont="1" applyBorder="1" applyAlignment="1">
      <alignment horizontal="left" vertical="center"/>
    </xf>
    <xf numFmtId="0" fontId="34" fillId="0" borderId="70" xfId="0" applyFont="1" applyBorder="1" applyAlignment="1">
      <alignment horizontal="center" vertical="center" wrapText="1"/>
    </xf>
    <xf numFmtId="0" fontId="91" fillId="0" borderId="70" xfId="0" applyFont="1" applyBorder="1" applyAlignment="1">
      <alignment horizontal="center" vertical="center"/>
    </xf>
    <xf numFmtId="0" fontId="91" fillId="0" borderId="70" xfId="0" applyFont="1" applyBorder="1" applyAlignment="1">
      <alignment horizontal="left" vertical="center"/>
    </xf>
    <xf numFmtId="2" fontId="91" fillId="0" borderId="70" xfId="0" applyNumberFormat="1" applyFont="1" applyBorder="1" applyAlignment="1">
      <alignment horizontal="left" vertical="center"/>
    </xf>
    <xf numFmtId="185" fontId="91" fillId="0" borderId="70" xfId="0" applyNumberFormat="1" applyFont="1" applyBorder="1" applyAlignment="1">
      <alignment horizontal="center" vertical="center"/>
    </xf>
    <xf numFmtId="3" fontId="91" fillId="0" borderId="70" xfId="0" applyNumberFormat="1" applyFont="1" applyBorder="1" applyAlignment="1">
      <alignment horizontal="center" vertical="center" wrapText="1"/>
    </xf>
    <xf numFmtId="172" fontId="91" fillId="0" borderId="70" xfId="0" applyNumberFormat="1" applyFont="1" applyBorder="1" applyAlignment="1">
      <alignment horizontal="center" vertical="center" wrapText="1"/>
    </xf>
    <xf numFmtId="3" fontId="34" fillId="0" borderId="70" xfId="0" applyNumberFormat="1" applyFont="1" applyBorder="1" applyAlignment="1">
      <alignment horizontal="center" vertical="center" wrapText="1"/>
    </xf>
    <xf numFmtId="0" fontId="67" fillId="0" borderId="70" xfId="0" applyFont="1" applyBorder="1" applyAlignment="1">
      <alignment vertical="center"/>
    </xf>
    <xf numFmtId="0" fontId="69" fillId="0" borderId="70" xfId="0" applyFont="1" applyBorder="1" applyAlignment="1">
      <alignment horizontal="center" vertical="center"/>
    </xf>
    <xf numFmtId="0" fontId="69" fillId="0" borderId="70" xfId="0" applyFont="1" applyBorder="1" applyAlignment="1">
      <alignment horizontal="left" vertical="center" wrapText="1"/>
    </xf>
    <xf numFmtId="0" fontId="69" fillId="0" borderId="70" xfId="0" applyFont="1" applyBorder="1" applyAlignment="1">
      <alignment horizontal="center" vertical="center" wrapText="1"/>
    </xf>
    <xf numFmtId="0" fontId="2" fillId="0" borderId="70" xfId="0" applyFont="1" applyBorder="1" applyAlignment="1">
      <alignment horizontal="center" vertical="center"/>
    </xf>
    <xf numFmtId="0" fontId="2" fillId="0" borderId="70" xfId="0" applyFont="1" applyBorder="1" applyAlignment="1">
      <alignment horizontal="left" vertical="center"/>
    </xf>
    <xf numFmtId="0" fontId="2" fillId="0" borderId="70" xfId="0" applyFont="1" applyBorder="1" applyAlignment="1">
      <alignment horizontal="center" vertical="center" wrapText="1"/>
    </xf>
    <xf numFmtId="0" fontId="71" fillId="0" borderId="70" xfId="0" applyFont="1" applyBorder="1" applyAlignment="1">
      <alignment horizontal="left" vertical="center"/>
    </xf>
    <xf numFmtId="0" fontId="71" fillId="0" borderId="70" xfId="0" applyFont="1" applyBorder="1" applyAlignment="1">
      <alignment horizontal="center" vertical="center"/>
    </xf>
    <xf numFmtId="3" fontId="71" fillId="0" borderId="70" xfId="0" applyNumberFormat="1" applyFont="1" applyBorder="1" applyAlignment="1">
      <alignment horizontal="center" vertical="center" wrapText="1"/>
    </xf>
    <xf numFmtId="172" fontId="71" fillId="0" borderId="70" xfId="0" applyNumberFormat="1" applyFont="1" applyBorder="1" applyAlignment="1">
      <alignment horizontal="center" vertical="center" wrapText="1"/>
    </xf>
    <xf numFmtId="3" fontId="69" fillId="0" borderId="70" xfId="0" applyNumberFormat="1" applyFont="1" applyBorder="1" applyAlignment="1">
      <alignment horizontal="center" vertical="center" wrapText="1"/>
    </xf>
    <xf numFmtId="0" fontId="2" fillId="0" borderId="70" xfId="0" applyFont="1" applyBorder="1" applyAlignment="1">
      <alignment vertical="center"/>
    </xf>
    <xf numFmtId="1" fontId="11" fillId="0" borderId="70" xfId="0" applyNumberFormat="1" applyFont="1" applyBorder="1" applyAlignment="1">
      <alignment horizontal="center" vertical="center" wrapText="1"/>
    </xf>
    <xf numFmtId="0" fontId="70" fillId="0" borderId="70" xfId="0" applyFont="1" applyBorder="1" applyAlignment="1">
      <alignment horizontal="left" vertical="center" wrapText="1"/>
    </xf>
    <xf numFmtId="0" fontId="11" fillId="0" borderId="70" xfId="0" applyFont="1" applyBorder="1" applyAlignment="1">
      <alignment horizontal="center" vertical="center" wrapText="1"/>
    </xf>
    <xf numFmtId="0" fontId="25" fillId="0" borderId="70" xfId="0" applyFont="1" applyBorder="1" applyAlignment="1">
      <alignment horizontal="center" vertical="center"/>
    </xf>
    <xf numFmtId="0" fontId="25" fillId="0" borderId="70" xfId="0" applyFont="1" applyBorder="1" applyAlignment="1">
      <alignment horizontal="left" vertical="center"/>
    </xf>
    <xf numFmtId="0" fontId="25" fillId="0" borderId="70" xfId="0" applyFont="1" applyBorder="1" applyAlignment="1">
      <alignment horizontal="center" vertical="center" wrapText="1"/>
    </xf>
    <xf numFmtId="0" fontId="66" fillId="0" borderId="70" xfId="0" applyFont="1" applyBorder="1" applyAlignment="1">
      <alignment horizontal="left" vertical="center"/>
    </xf>
    <xf numFmtId="0" fontId="66" fillId="0" borderId="70" xfId="0" applyFont="1" applyBorder="1" applyAlignment="1">
      <alignment horizontal="center" vertical="center"/>
    </xf>
    <xf numFmtId="0" fontId="66" fillId="0" borderId="70" xfId="0" applyFont="1" applyBorder="1" applyAlignment="1">
      <alignment horizontal="center" vertical="center" wrapText="1"/>
    </xf>
    <xf numFmtId="172" fontId="66" fillId="0" borderId="70" xfId="0" applyNumberFormat="1" applyFont="1" applyBorder="1" applyAlignment="1">
      <alignment horizontal="center" vertical="center" wrapText="1"/>
    </xf>
    <xf numFmtId="3" fontId="11" fillId="0" borderId="70" xfId="0" applyNumberFormat="1" applyFont="1" applyBorder="1" applyAlignment="1">
      <alignment horizontal="center" vertical="center" wrapText="1"/>
    </xf>
    <xf numFmtId="0" fontId="11" fillId="0" borderId="70" xfId="0" applyFont="1" applyBorder="1" applyAlignment="1">
      <alignment horizontal="center" vertical="center"/>
    </xf>
    <xf numFmtId="9" fontId="11" fillId="0" borderId="70" xfId="0" applyNumberFormat="1" applyFont="1" applyBorder="1" applyAlignment="1">
      <alignment horizontal="center" vertical="center"/>
    </xf>
    <xf numFmtId="0" fontId="8" fillId="0" borderId="70" xfId="0" applyFont="1" applyBorder="1" applyAlignment="1">
      <alignment vertical="center"/>
    </xf>
    <xf numFmtId="0" fontId="11" fillId="0" borderId="70" xfId="0" applyFont="1" applyBorder="1" applyAlignment="1">
      <alignment horizontal="left" vertical="center" wrapText="1"/>
    </xf>
    <xf numFmtId="1" fontId="11" fillId="0" borderId="70" xfId="0" applyNumberFormat="1" applyFont="1" applyBorder="1" applyAlignment="1">
      <alignment vertical="center"/>
    </xf>
    <xf numFmtId="172" fontId="11" fillId="0" borderId="70" xfId="0" applyNumberFormat="1" applyFont="1" applyBorder="1" applyAlignment="1">
      <alignment vertical="center"/>
    </xf>
    <xf numFmtId="3" fontId="11" fillId="0" borderId="70" xfId="0" applyNumberFormat="1" applyFont="1" applyBorder="1" applyAlignment="1">
      <alignment vertical="center" wrapText="1"/>
    </xf>
    <xf numFmtId="3" fontId="11" fillId="0" borderId="70" xfId="0" applyNumberFormat="1" applyFont="1" applyBorder="1" applyAlignment="1">
      <alignment vertical="center"/>
    </xf>
    <xf numFmtId="14" fontId="11" fillId="0" borderId="70" xfId="0" applyNumberFormat="1" applyFont="1" applyBorder="1" applyAlignment="1">
      <alignment horizontal="center" vertical="center" wrapText="1"/>
    </xf>
    <xf numFmtId="14" fontId="66" fillId="0" borderId="70" xfId="0" applyNumberFormat="1" applyFont="1" applyBorder="1" applyAlignment="1">
      <alignment horizontal="left" vertical="center" wrapText="1"/>
    </xf>
    <xf numFmtId="0" fontId="25" fillId="0" borderId="70" xfId="0" applyFont="1" applyBorder="1" applyAlignment="1">
      <alignment horizontal="left" vertical="center" wrapText="1"/>
    </xf>
    <xf numFmtId="14" fontId="25" fillId="0" borderId="70" xfId="0" applyNumberFormat="1" applyFont="1" applyBorder="1" applyAlignment="1">
      <alignment horizontal="justify" vertical="center" wrapText="1"/>
    </xf>
    <xf numFmtId="0" fontId="25" fillId="0" borderId="70" xfId="0" applyFont="1" applyBorder="1" applyAlignment="1">
      <alignment vertical="center"/>
    </xf>
    <xf numFmtId="0" fontId="67" fillId="0" borderId="70" xfId="0" applyFont="1" applyBorder="1" applyAlignment="1">
      <alignment horizontal="center" vertical="center"/>
    </xf>
    <xf numFmtId="0" fontId="6" fillId="0" borderId="70" xfId="0" applyFont="1" applyBorder="1" applyAlignment="1">
      <alignment horizontal="left" vertical="center"/>
    </xf>
    <xf numFmtId="0" fontId="67" fillId="0" borderId="70" xfId="0" applyFont="1" applyBorder="1" applyAlignment="1">
      <alignment horizontal="center" vertical="center" wrapText="1"/>
    </xf>
    <xf numFmtId="0" fontId="67" fillId="0" borderId="70" xfId="0" applyFont="1" applyBorder="1" applyAlignment="1">
      <alignment horizontal="left" vertical="center"/>
    </xf>
    <xf numFmtId="0" fontId="67" fillId="0" borderId="70" xfId="0" applyFont="1" applyBorder="1" applyAlignment="1">
      <alignment horizontal="left" vertical="center" wrapText="1"/>
    </xf>
    <xf numFmtId="3" fontId="69" fillId="0" borderId="70" xfId="0" applyNumberFormat="1" applyFont="1" applyBorder="1" applyAlignment="1">
      <alignment vertical="center"/>
    </xf>
    <xf numFmtId="172" fontId="69" fillId="0" borderId="70" xfId="0" applyNumberFormat="1" applyFont="1" applyBorder="1" applyAlignment="1">
      <alignment vertical="center"/>
    </xf>
    <xf numFmtId="172" fontId="67" fillId="0" borderId="70" xfId="0" applyNumberFormat="1" applyFont="1" applyBorder="1" applyAlignment="1">
      <alignment horizontal="center" vertical="center" wrapText="1"/>
    </xf>
    <xf numFmtId="14" fontId="67" fillId="0" borderId="70" xfId="0" applyNumberFormat="1" applyFont="1" applyBorder="1" applyAlignment="1">
      <alignment horizontal="justify" vertical="center" wrapText="1"/>
    </xf>
    <xf numFmtId="14" fontId="67" fillId="0" borderId="70" xfId="0" applyNumberFormat="1" applyFont="1" applyBorder="1" applyAlignment="1">
      <alignment horizontal="center" vertical="center" wrapText="1"/>
    </xf>
    <xf numFmtId="0" fontId="2" fillId="0" borderId="70" xfId="0" applyFont="1" applyBorder="1" applyAlignment="1">
      <alignment horizontal="left" vertical="center" wrapText="1"/>
    </xf>
    <xf numFmtId="3" fontId="2" fillId="0" borderId="70" xfId="0" applyNumberFormat="1" applyFont="1" applyBorder="1" applyAlignment="1">
      <alignment vertical="center" wrapText="1"/>
    </xf>
    <xf numFmtId="172" fontId="2" fillId="0" borderId="70" xfId="0" applyNumberFormat="1" applyFont="1" applyBorder="1" applyAlignment="1">
      <alignment horizontal="center" vertical="center" wrapText="1"/>
    </xf>
    <xf numFmtId="14" fontId="2" fillId="0" borderId="70" xfId="0" applyNumberFormat="1" applyFont="1" applyBorder="1" applyAlignment="1">
      <alignment horizontal="center" vertical="center" wrapText="1"/>
    </xf>
    <xf numFmtId="14" fontId="2" fillId="0" borderId="70" xfId="0" applyNumberFormat="1" applyFont="1" applyBorder="1" applyAlignment="1">
      <alignment horizontal="justify" vertical="center" wrapText="1"/>
    </xf>
    <xf numFmtId="0" fontId="8" fillId="0" borderId="70" xfId="0" applyFont="1" applyBorder="1" applyAlignment="1">
      <alignment horizontal="left" vertical="center" wrapText="1"/>
    </xf>
    <xf numFmtId="3" fontId="25" fillId="0" borderId="70" xfId="0" applyNumberFormat="1" applyFont="1" applyBorder="1" applyAlignment="1">
      <alignment vertical="center" wrapText="1"/>
    </xf>
    <xf numFmtId="172" fontId="25" fillId="0" borderId="70" xfId="0" applyNumberFormat="1" applyFont="1" applyBorder="1" applyAlignment="1">
      <alignment horizontal="center" vertical="center" wrapText="1"/>
    </xf>
    <xf numFmtId="172" fontId="25" fillId="0" borderId="70" xfId="0" applyNumberFormat="1" applyFont="1" applyBorder="1" applyAlignment="1">
      <alignment vertical="center"/>
    </xf>
    <xf numFmtId="14" fontId="25" fillId="0" borderId="70" xfId="0" applyNumberFormat="1" applyFont="1" applyBorder="1" applyAlignment="1">
      <alignment horizontal="center" vertical="center" wrapText="1"/>
    </xf>
    <xf numFmtId="0" fontId="8" fillId="0" borderId="70" xfId="0" applyFont="1" applyBorder="1" applyAlignment="1">
      <alignment horizontal="center" vertical="center" wrapText="1"/>
    </xf>
    <xf numFmtId="0" fontId="25" fillId="0" borderId="72" xfId="0" applyFont="1" applyBorder="1" applyAlignment="1">
      <alignment horizontal="center" vertical="center"/>
    </xf>
    <xf numFmtId="49" fontId="25" fillId="0" borderId="70" xfId="0" applyNumberFormat="1" applyFont="1" applyBorder="1" applyAlignment="1">
      <alignment horizontal="center" vertical="center" wrapText="1"/>
    </xf>
    <xf numFmtId="14" fontId="25" fillId="0" borderId="70" xfId="0" applyNumberFormat="1" applyFont="1" applyBorder="1" applyAlignment="1">
      <alignment horizontal="center" vertical="center"/>
    </xf>
    <xf numFmtId="3" fontId="25" fillId="0" borderId="72" xfId="0" applyNumberFormat="1" applyFont="1" applyBorder="1" applyAlignment="1">
      <alignment horizontal="center" vertical="center" wrapText="1"/>
    </xf>
    <xf numFmtId="0" fontId="25" fillId="0" borderId="73" xfId="0" applyFont="1" applyBorder="1" applyAlignment="1">
      <alignment horizontal="center" vertical="center" wrapText="1"/>
    </xf>
    <xf numFmtId="172" fontId="25" fillId="0" borderId="73" xfId="0" applyNumberFormat="1" applyFont="1" applyBorder="1" applyAlignment="1">
      <alignment horizontal="center" vertical="center" wrapText="1"/>
    </xf>
    <xf numFmtId="0" fontId="25" fillId="0" borderId="74" xfId="0" applyFont="1" applyBorder="1" applyAlignment="1">
      <alignment horizontal="center" vertical="center"/>
    </xf>
    <xf numFmtId="0" fontId="25" fillId="0" borderId="74" xfId="0" applyFont="1" applyBorder="1" applyAlignment="1">
      <alignment horizontal="center" vertical="center" wrapText="1"/>
    </xf>
    <xf numFmtId="1" fontId="25" fillId="0" borderId="70" xfId="0" applyNumberFormat="1" applyFont="1" applyBorder="1" applyAlignment="1">
      <alignment horizontal="center" vertical="center" wrapText="1"/>
    </xf>
    <xf numFmtId="9" fontId="25" fillId="0" borderId="70" xfId="0" applyNumberFormat="1" applyFont="1" applyBorder="1" applyAlignment="1">
      <alignment horizontal="center" vertical="center"/>
    </xf>
    <xf numFmtId="0" fontId="8" fillId="0" borderId="70" xfId="0" applyFont="1" applyBorder="1" applyAlignment="1">
      <alignment horizontal="right" vertical="center" wrapText="1"/>
    </xf>
    <xf numFmtId="3" fontId="25" fillId="0" borderId="70" xfId="0" applyNumberFormat="1" applyFont="1" applyBorder="1" applyAlignment="1">
      <alignment horizontal="center" vertical="center"/>
    </xf>
    <xf numFmtId="187" fontId="25" fillId="0" borderId="70" xfId="0" applyNumberFormat="1" applyFont="1" applyBorder="1" applyAlignment="1">
      <alignment horizontal="center" vertical="center"/>
    </xf>
    <xf numFmtId="3" fontId="31" fillId="0" borderId="70" xfId="0" applyNumberFormat="1" applyFont="1" applyBorder="1" applyAlignment="1">
      <alignment vertical="center"/>
    </xf>
    <xf numFmtId="172" fontId="31" fillId="0" borderId="70" xfId="0" applyNumberFormat="1" applyFont="1" applyBorder="1" applyAlignment="1">
      <alignment vertical="center"/>
    </xf>
    <xf numFmtId="0" fontId="25" fillId="0" borderId="70" xfId="0" applyFont="1" applyBorder="1" applyAlignment="1">
      <alignment horizontal="justify" vertical="center" wrapText="1"/>
    </xf>
    <xf numFmtId="9" fontId="8" fillId="0" borderId="70" xfId="0" applyNumberFormat="1" applyFont="1" applyBorder="1" applyAlignment="1">
      <alignment vertical="center"/>
    </xf>
    <xf numFmtId="9" fontId="25" fillId="0" borderId="70" xfId="79" applyFont="1" applyFill="1" applyBorder="1" applyAlignment="1">
      <alignment horizontal="center" vertical="center"/>
    </xf>
    <xf numFmtId="172" fontId="25" fillId="0" borderId="70" xfId="79" applyNumberFormat="1" applyFont="1" applyFill="1" applyBorder="1" applyAlignment="1">
      <alignment horizontal="center" vertical="center"/>
    </xf>
    <xf numFmtId="14" fontId="25" fillId="0" borderId="72" xfId="0" applyNumberFormat="1" applyFont="1" applyBorder="1" applyAlignment="1">
      <alignment vertical="center" wrapText="1"/>
    </xf>
    <xf numFmtId="14" fontId="25" fillId="0" borderId="74" xfId="0" applyNumberFormat="1" applyFont="1" applyBorder="1" applyAlignment="1">
      <alignment vertical="center" wrapText="1"/>
    </xf>
    <xf numFmtId="1" fontId="25" fillId="0" borderId="72" xfId="0" applyNumberFormat="1" applyFont="1" applyBorder="1" applyAlignment="1">
      <alignment horizontal="center" vertical="center" wrapText="1"/>
    </xf>
    <xf numFmtId="172" fontId="25" fillId="0" borderId="70" xfId="63" applyNumberFormat="1" applyFont="1" applyFill="1" applyBorder="1" applyAlignment="1">
      <alignment horizontal="center" vertical="center"/>
    </xf>
    <xf numFmtId="172" fontId="25" fillId="0" borderId="70" xfId="0" applyNumberFormat="1" applyFont="1" applyBorder="1" applyAlignment="1">
      <alignment vertical="center" wrapText="1"/>
    </xf>
    <xf numFmtId="0" fontId="25" fillId="0" borderId="72" xfId="0" applyFont="1" applyBorder="1" applyAlignment="1">
      <alignment vertical="center"/>
    </xf>
    <xf numFmtId="0" fontId="67" fillId="0" borderId="70" xfId="0" applyFont="1" applyBorder="1" applyAlignment="1">
      <alignment horizontal="right" vertical="center" wrapText="1"/>
    </xf>
    <xf numFmtId="172" fontId="2" fillId="0" borderId="70" xfId="0" applyNumberFormat="1" applyFont="1" applyBorder="1" applyAlignment="1">
      <alignment vertical="center" wrapText="1"/>
    </xf>
    <xf numFmtId="0" fontId="2" fillId="0" borderId="70" xfId="0" applyFont="1" applyBorder="1" applyAlignment="1">
      <alignment horizontal="right" vertical="center" wrapText="1"/>
    </xf>
    <xf numFmtId="0" fontId="25" fillId="0" borderId="74" xfId="0" applyFont="1" applyBorder="1" applyAlignment="1">
      <alignment horizontal="left" vertical="center" wrapText="1"/>
    </xf>
    <xf numFmtId="3" fontId="25" fillId="0" borderId="70" xfId="0" applyNumberFormat="1" applyFont="1" applyBorder="1" applyAlignment="1">
      <alignment vertical="center"/>
    </xf>
    <xf numFmtId="1" fontId="25" fillId="0" borderId="70" xfId="63" applyNumberFormat="1" applyFont="1" applyFill="1" applyBorder="1" applyAlignment="1">
      <alignment horizontal="center" vertical="center"/>
    </xf>
    <xf numFmtId="9" fontId="25" fillId="0" borderId="70" xfId="63" applyFont="1" applyFill="1" applyBorder="1" applyAlignment="1">
      <alignment horizontal="center" vertical="center"/>
    </xf>
    <xf numFmtId="9" fontId="31" fillId="0" borderId="70" xfId="63" applyFont="1" applyFill="1" applyBorder="1" applyAlignment="1">
      <alignment vertical="center"/>
    </xf>
    <xf numFmtId="9" fontId="11" fillId="0" borderId="70" xfId="63" applyFont="1" applyFill="1" applyBorder="1" applyAlignment="1">
      <alignment vertical="center" wrapText="1"/>
    </xf>
    <xf numFmtId="1" fontId="2" fillId="0" borderId="70" xfId="0" applyNumberFormat="1" applyFont="1" applyBorder="1" applyAlignment="1">
      <alignment horizontal="center" vertical="center" wrapText="1"/>
    </xf>
    <xf numFmtId="3" fontId="2" fillId="0" borderId="70" xfId="0" applyNumberFormat="1" applyFont="1" applyBorder="1" applyAlignment="1">
      <alignment vertical="center"/>
    </xf>
    <xf numFmtId="3" fontId="8" fillId="0" borderId="70" xfId="0" applyNumberFormat="1" applyFont="1" applyBorder="1" applyAlignment="1">
      <alignment horizontal="center" vertical="center" wrapText="1"/>
    </xf>
    <xf numFmtId="172" fontId="2" fillId="0" borderId="70" xfId="0" applyNumberFormat="1" applyFont="1" applyBorder="1" applyAlignment="1">
      <alignment vertical="center"/>
    </xf>
    <xf numFmtId="0" fontId="2" fillId="0" borderId="70" xfId="0" applyFont="1" applyBorder="1" applyAlignment="1">
      <alignment vertical="center" wrapText="1"/>
    </xf>
    <xf numFmtId="172" fontId="25" fillId="0" borderId="74" xfId="79" applyNumberFormat="1" applyFont="1" applyFill="1" applyBorder="1" applyAlignment="1">
      <alignment horizontal="center" vertical="center"/>
    </xf>
    <xf numFmtId="172" fontId="25" fillId="0" borderId="72" xfId="0" applyNumberFormat="1" applyFont="1" applyBorder="1" applyAlignment="1">
      <alignment vertical="center" wrapText="1"/>
    </xf>
    <xf numFmtId="172" fontId="25" fillId="0" borderId="74" xfId="0" applyNumberFormat="1" applyFont="1" applyBorder="1" applyAlignment="1">
      <alignment vertical="center" wrapText="1"/>
    </xf>
    <xf numFmtId="9" fontId="25" fillId="0" borderId="70" xfId="65" applyFont="1" applyFill="1" applyBorder="1" applyAlignment="1">
      <alignment horizontal="left" vertical="center" wrapText="1"/>
    </xf>
    <xf numFmtId="0" fontId="11" fillId="0" borderId="70" xfId="0" applyFont="1" applyBorder="1" applyAlignment="1">
      <alignment horizontal="left" vertical="center"/>
    </xf>
    <xf numFmtId="1" fontId="25" fillId="0" borderId="70" xfId="0" applyNumberFormat="1" applyFont="1" applyBorder="1" applyAlignment="1">
      <alignment horizontal="center" vertical="center"/>
    </xf>
    <xf numFmtId="0" fontId="11" fillId="0" borderId="70" xfId="0" applyFont="1" applyBorder="1" applyAlignment="1">
      <alignment vertical="center" wrapText="1"/>
    </xf>
    <xf numFmtId="0" fontId="25" fillId="0" borderId="70" xfId="0" applyFont="1" applyBorder="1" applyAlignment="1">
      <alignment horizontal="left" vertical="top" wrapText="1"/>
    </xf>
    <xf numFmtId="0" fontId="25" fillId="0" borderId="70" xfId="0" applyFont="1" applyBorder="1" applyAlignment="1">
      <alignment horizontal="center" vertical="top" wrapText="1"/>
    </xf>
    <xf numFmtId="0" fontId="25" fillId="0" borderId="70" xfId="0" applyFont="1" applyBorder="1" applyAlignment="1">
      <alignment horizontal="right" vertical="center" wrapText="1"/>
    </xf>
    <xf numFmtId="0" fontId="31" fillId="0" borderId="0" xfId="0" applyFont="1" applyAlignment="1">
      <alignment horizontal="justify" vertical="center" wrapText="1"/>
    </xf>
    <xf numFmtId="3" fontId="31" fillId="0" borderId="70" xfId="0" applyNumberFormat="1" applyFont="1" applyBorder="1" applyAlignment="1">
      <alignment vertical="center" wrapText="1"/>
    </xf>
    <xf numFmtId="172" fontId="31" fillId="0" borderId="70" xfId="0" applyNumberFormat="1" applyFont="1" applyBorder="1" applyAlignment="1">
      <alignment vertical="center" wrapText="1"/>
    </xf>
    <xf numFmtId="9" fontId="25" fillId="0" borderId="70" xfId="65" applyFont="1" applyFill="1" applyBorder="1" applyAlignment="1">
      <alignment horizontal="center" vertical="center"/>
    </xf>
    <xf numFmtId="9" fontId="25" fillId="0" borderId="70" xfId="65" applyFont="1" applyFill="1" applyBorder="1" applyAlignment="1">
      <alignment horizontal="center" vertical="center" wrapText="1"/>
    </xf>
    <xf numFmtId="1" fontId="25" fillId="0" borderId="70" xfId="65" applyNumberFormat="1" applyFont="1" applyFill="1" applyBorder="1" applyAlignment="1">
      <alignment horizontal="center" vertical="center"/>
    </xf>
    <xf numFmtId="190" fontId="25" fillId="0" borderId="70" xfId="0" applyNumberFormat="1" applyFont="1" applyBorder="1" applyAlignment="1">
      <alignment horizontal="center" vertical="center"/>
    </xf>
    <xf numFmtId="185" fontId="25" fillId="0" borderId="70" xfId="0" applyNumberFormat="1" applyFont="1" applyBorder="1" applyAlignment="1">
      <alignment horizontal="center" vertical="center"/>
    </xf>
    <xf numFmtId="185" fontId="25" fillId="0" borderId="70" xfId="65" applyNumberFormat="1" applyFont="1" applyFill="1" applyBorder="1" applyAlignment="1">
      <alignment horizontal="center" vertical="center"/>
    </xf>
    <xf numFmtId="0" fontId="8" fillId="0" borderId="70" xfId="0" applyFont="1" applyBorder="1" applyAlignment="1">
      <alignment horizontal="center" vertical="center"/>
    </xf>
    <xf numFmtId="0" fontId="13" fillId="0" borderId="70" xfId="0" applyFont="1" applyBorder="1" applyAlignment="1">
      <alignment horizontal="center" vertical="center" wrapText="1"/>
    </xf>
    <xf numFmtId="3" fontId="70" fillId="0" borderId="70" xfId="0" applyNumberFormat="1" applyFont="1" applyBorder="1" applyAlignment="1">
      <alignment vertical="center"/>
    </xf>
    <xf numFmtId="172" fontId="70" fillId="0" borderId="70" xfId="0" applyNumberFormat="1" applyFont="1" applyBorder="1" applyAlignment="1">
      <alignment vertical="center"/>
    </xf>
    <xf numFmtId="3" fontId="8" fillId="0" borderId="70" xfId="0" applyNumberFormat="1" applyFont="1" applyBorder="1" applyAlignment="1">
      <alignment vertical="center" wrapText="1"/>
    </xf>
    <xf numFmtId="172" fontId="8" fillId="0" borderId="70" xfId="0" applyNumberFormat="1" applyFont="1" applyBorder="1" applyAlignment="1">
      <alignment horizontal="center" vertical="center" wrapText="1"/>
    </xf>
    <xf numFmtId="172" fontId="8" fillId="0" borderId="70" xfId="0" applyNumberFormat="1" applyFont="1" applyBorder="1" applyAlignment="1">
      <alignment vertical="center"/>
    </xf>
    <xf numFmtId="14" fontId="8" fillId="0" borderId="70" xfId="0" applyNumberFormat="1" applyFont="1" applyBorder="1" applyAlignment="1">
      <alignment horizontal="center" vertical="center" wrapText="1"/>
    </xf>
    <xf numFmtId="14" fontId="8" fillId="0" borderId="70" xfId="0" applyNumberFormat="1" applyFont="1" applyBorder="1" applyAlignment="1">
      <alignment horizontal="justify" vertical="center" wrapText="1"/>
    </xf>
    <xf numFmtId="14" fontId="8" fillId="0" borderId="70" xfId="0" applyNumberFormat="1" applyFont="1" applyBorder="1" applyAlignment="1">
      <alignment horizontal="right" vertical="center" wrapText="1"/>
    </xf>
    <xf numFmtId="3" fontId="25" fillId="0" borderId="70" xfId="0" applyNumberFormat="1" applyFont="1" applyBorder="1" applyAlignment="1">
      <alignment horizontal="justify" vertical="center" wrapText="1"/>
    </xf>
    <xf numFmtId="3" fontId="67" fillId="0" borderId="70" xfId="0" applyNumberFormat="1" applyFont="1" applyBorder="1" applyAlignment="1">
      <alignment vertical="center"/>
    </xf>
    <xf numFmtId="0" fontId="90" fillId="0" borderId="70" xfId="0" applyFont="1" applyBorder="1" applyAlignment="1">
      <alignment horizontal="left" vertical="center" wrapText="1"/>
    </xf>
    <xf numFmtId="0" fontId="25" fillId="0" borderId="71" xfId="0" applyFont="1" applyBorder="1" applyAlignment="1">
      <alignment horizontal="center" vertical="center"/>
    </xf>
    <xf numFmtId="0" fontId="25" fillId="0" borderId="71" xfId="0" applyFont="1" applyBorder="1" applyAlignment="1">
      <alignment horizontal="center" vertical="center" wrapText="1"/>
    </xf>
    <xf numFmtId="0" fontId="25" fillId="0" borderId="71" xfId="0" applyFont="1" applyBorder="1" applyAlignment="1">
      <alignment horizontal="left" vertical="center" wrapText="1"/>
    </xf>
    <xf numFmtId="3" fontId="31" fillId="0" borderId="71" xfId="0" applyNumberFormat="1" applyFont="1" applyBorder="1" applyAlignment="1">
      <alignment vertical="center"/>
    </xf>
    <xf numFmtId="172" fontId="31" fillId="0" borderId="71" xfId="0" applyNumberFormat="1" applyFont="1" applyBorder="1" applyAlignment="1">
      <alignment vertical="center"/>
    </xf>
    <xf numFmtId="3" fontId="11" fillId="0" borderId="75" xfId="0" applyNumberFormat="1" applyFont="1" applyBorder="1" applyAlignment="1">
      <alignment vertical="center" wrapText="1"/>
    </xf>
    <xf numFmtId="172" fontId="11" fillId="0" borderId="75" xfId="0" applyNumberFormat="1" applyFont="1" applyBorder="1" applyAlignment="1">
      <alignment vertical="center"/>
    </xf>
    <xf numFmtId="3" fontId="11" fillId="0" borderId="71" xfId="0" applyNumberFormat="1" applyFont="1" applyBorder="1" applyAlignment="1">
      <alignment vertical="center"/>
    </xf>
    <xf numFmtId="172" fontId="25" fillId="0" borderId="71" xfId="0" applyNumberFormat="1" applyFont="1" applyBorder="1" applyAlignment="1">
      <alignment vertical="center"/>
    </xf>
    <xf numFmtId="14" fontId="25" fillId="0" borderId="71" xfId="0" applyNumberFormat="1" applyFont="1" applyBorder="1" applyAlignment="1">
      <alignment horizontal="justify" vertical="center" wrapText="1"/>
    </xf>
    <xf numFmtId="3" fontId="70" fillId="0" borderId="0" xfId="0" applyNumberFormat="1" applyFont="1" applyAlignment="1">
      <alignment horizontal="center" vertical="center"/>
    </xf>
    <xf numFmtId="187" fontId="82" fillId="0" borderId="0" xfId="86" applyNumberFormat="1" applyFont="1" applyFill="1"/>
    <xf numFmtId="0" fontId="30" fillId="0" borderId="0" xfId="0" applyFont="1" applyAlignment="1">
      <alignment horizontal="center"/>
    </xf>
    <xf numFmtId="0" fontId="30" fillId="0" borderId="0" xfId="0" applyFont="1" applyAlignment="1">
      <alignment horizontal="left" vertical="top"/>
    </xf>
    <xf numFmtId="3" fontId="30" fillId="0" borderId="0" xfId="0" applyNumberFormat="1" applyFont="1"/>
    <xf numFmtId="172" fontId="39" fillId="0" borderId="13" xfId="63" applyNumberFormat="1" applyFont="1" applyFill="1" applyBorder="1" applyAlignment="1">
      <alignment horizontal="left" vertical="center" wrapText="1"/>
    </xf>
    <xf numFmtId="0" fontId="39" fillId="0" borderId="18" xfId="0" applyFont="1" applyBorder="1" applyAlignment="1">
      <alignment vertical="center"/>
    </xf>
    <xf numFmtId="41" fontId="39" fillId="0" borderId="10" xfId="87" applyFont="1" applyFill="1" applyBorder="1" applyAlignment="1">
      <alignment vertical="center"/>
    </xf>
    <xf numFmtId="41" fontId="39" fillId="0" borderId="10" xfId="87" applyFont="1" applyFill="1" applyBorder="1" applyAlignment="1">
      <alignment vertical="center" wrapText="1"/>
    </xf>
    <xf numFmtId="14" fontId="39" fillId="0" borderId="10" xfId="0" applyNumberFormat="1" applyFont="1" applyBorder="1" applyAlignment="1">
      <alignment vertical="center"/>
    </xf>
    <xf numFmtId="41" fontId="39" fillId="0" borderId="10" xfId="87" applyFont="1" applyFill="1" applyBorder="1" applyAlignment="1">
      <alignment horizontal="center" vertical="center"/>
    </xf>
    <xf numFmtId="1" fontId="39" fillId="0" borderId="10" xfId="87" applyNumberFormat="1" applyFont="1" applyFill="1" applyBorder="1" applyAlignment="1">
      <alignment horizontal="center" vertical="center"/>
    </xf>
    <xf numFmtId="41" fontId="39" fillId="0" borderId="10" xfId="87" applyFont="1" applyFill="1" applyBorder="1" applyAlignment="1">
      <alignment horizontal="center" vertical="center" wrapText="1"/>
    </xf>
    <xf numFmtId="0" fontId="39" fillId="0" borderId="45" xfId="0" applyFont="1" applyBorder="1" applyAlignment="1">
      <alignment horizontal="center" vertical="center"/>
    </xf>
    <xf numFmtId="172" fontId="39" fillId="0" borderId="10" xfId="63" applyNumberFormat="1" applyFont="1" applyFill="1" applyBorder="1" applyAlignment="1">
      <alignment horizontal="center" vertical="center"/>
    </xf>
    <xf numFmtId="9" fontId="39" fillId="0" borderId="0" xfId="63" applyFont="1" applyFill="1" applyAlignment="1">
      <alignment horizontal="left" vertical="top"/>
    </xf>
    <xf numFmtId="172" fontId="39" fillId="0" borderId="0" xfId="63" applyNumberFormat="1" applyFont="1" applyFill="1" applyBorder="1" applyAlignment="1">
      <alignment horizontal="center" vertical="center"/>
    </xf>
    <xf numFmtId="41" fontId="39" fillId="0" borderId="0" xfId="87" applyFont="1" applyFill="1"/>
    <xf numFmtId="0" fontId="31" fillId="0" borderId="10" xfId="0" applyFont="1" applyBorder="1" applyAlignment="1">
      <alignment horizontal="right" vertical="center" wrapText="1"/>
    </xf>
    <xf numFmtId="187" fontId="31" fillId="0" borderId="10" xfId="0" applyNumberFormat="1" applyFont="1" applyBorder="1" applyAlignment="1">
      <alignment horizontal="right" vertical="center"/>
    </xf>
    <xf numFmtId="177" fontId="31" fillId="0" borderId="10" xfId="0" applyNumberFormat="1" applyFont="1" applyBorder="1" applyAlignment="1">
      <alignment vertical="center" wrapText="1"/>
    </xf>
    <xf numFmtId="177" fontId="31" fillId="0" borderId="0" xfId="0" applyNumberFormat="1" applyFont="1" applyAlignment="1">
      <alignment horizontal="center" vertical="center"/>
    </xf>
    <xf numFmtId="0" fontId="31" fillId="0" borderId="48" xfId="0" applyFont="1" applyBorder="1" applyAlignment="1">
      <alignment horizontal="center" vertical="center" wrapText="1"/>
    </xf>
    <xf numFmtId="0" fontId="30" fillId="0" borderId="13" xfId="0" applyFont="1" applyBorder="1" applyAlignment="1">
      <alignment horizontal="center" vertical="center"/>
    </xf>
    <xf numFmtId="0" fontId="88" fillId="0" borderId="42" xfId="0" applyFont="1" applyBorder="1" applyAlignment="1">
      <alignment vertical="center"/>
    </xf>
    <xf numFmtId="0" fontId="25" fillId="0" borderId="10" xfId="0" applyFont="1" applyBorder="1" applyAlignment="1">
      <alignment horizontal="center"/>
    </xf>
    <xf numFmtId="0" fontId="40" fillId="0" borderId="10" xfId="0" applyFont="1" applyBorder="1" applyAlignment="1">
      <alignment horizontal="center"/>
    </xf>
    <xf numFmtId="1" fontId="31" fillId="0" borderId="13" xfId="0" applyNumberFormat="1" applyFont="1" applyBorder="1" applyAlignment="1">
      <alignment horizontal="center" vertical="center" wrapText="1"/>
    </xf>
    <xf numFmtId="0" fontId="32" fillId="0" borderId="76" xfId="0" applyFont="1" applyBorder="1" applyAlignment="1">
      <alignment horizontal="center" vertical="center" wrapText="1"/>
    </xf>
    <xf numFmtId="0" fontId="32" fillId="0" borderId="42" xfId="49" applyFont="1" applyBorder="1" applyAlignment="1">
      <alignment horizontal="left" vertical="center" wrapText="1"/>
    </xf>
    <xf numFmtId="0" fontId="67" fillId="0" borderId="42" xfId="49" applyFont="1" applyBorder="1" applyAlignment="1">
      <alignment horizontal="center" vertical="center" wrapText="1"/>
    </xf>
    <xf numFmtId="0" fontId="67" fillId="0" borderId="42" xfId="39" applyFont="1" applyBorder="1" applyAlignment="1">
      <alignment horizontal="left" vertical="center" wrapText="1"/>
    </xf>
    <xf numFmtId="0" fontId="25" fillId="0" borderId="42" xfId="49" applyFont="1" applyBorder="1" applyAlignment="1">
      <alignment horizontal="center" vertical="center" wrapText="1"/>
    </xf>
    <xf numFmtId="0" fontId="67" fillId="0" borderId="42" xfId="44" applyFont="1" applyBorder="1" applyAlignment="1">
      <alignment vertical="center" wrapText="1"/>
    </xf>
    <xf numFmtId="0" fontId="67" fillId="0" borderId="42" xfId="39" applyFont="1" applyBorder="1" applyAlignment="1">
      <alignment vertical="center" wrapText="1"/>
    </xf>
    <xf numFmtId="0" fontId="67" fillId="0" borderId="42" xfId="44" applyFont="1" applyBorder="1" applyAlignment="1">
      <alignment horizontal="center" vertical="center" wrapText="1"/>
    </xf>
    <xf numFmtId="9" fontId="67" fillId="0" borderId="42" xfId="79" applyFont="1" applyFill="1" applyBorder="1" applyAlignment="1">
      <alignment horizontal="center" vertical="center" wrapText="1"/>
    </xf>
    <xf numFmtId="9" fontId="25" fillId="0" borderId="42" xfId="79" applyFont="1" applyFill="1" applyBorder="1" applyAlignment="1">
      <alignment horizontal="center" vertical="center" wrapText="1"/>
    </xf>
    <xf numFmtId="0" fontId="0" fillId="0" borderId="42" xfId="0" applyBorder="1" applyAlignment="1">
      <alignment horizontal="center" vertical="center" wrapText="1"/>
    </xf>
    <xf numFmtId="0" fontId="67" fillId="0" borderId="42" xfId="39" applyFont="1" applyBorder="1" applyAlignment="1">
      <alignment horizontal="right" vertical="center" wrapText="1"/>
    </xf>
    <xf numFmtId="193" fontId="67" fillId="0" borderId="42" xfId="44" applyNumberFormat="1" applyFont="1" applyBorder="1" applyAlignment="1">
      <alignment horizontal="center" vertical="center" wrapText="1"/>
    </xf>
    <xf numFmtId="193" fontId="67" fillId="0" borderId="42" xfId="39" applyNumberFormat="1" applyFont="1" applyBorder="1" applyAlignment="1">
      <alignment horizontal="center" vertical="center" wrapText="1"/>
    </xf>
    <xf numFmtId="0" fontId="31" fillId="0" borderId="42" xfId="44" applyFont="1" applyBorder="1" applyAlignment="1">
      <alignment vertical="center" wrapText="1"/>
    </xf>
    <xf numFmtId="0" fontId="67" fillId="0" borderId="77" xfId="44" applyFont="1" applyBorder="1" applyAlignment="1">
      <alignment horizontal="center" vertical="center" wrapText="1"/>
    </xf>
    <xf numFmtId="0" fontId="32" fillId="0" borderId="78" xfId="0" applyFont="1" applyBorder="1" applyAlignment="1">
      <alignment horizontal="center" vertical="center" wrapText="1"/>
    </xf>
    <xf numFmtId="9" fontId="67" fillId="0" borderId="30" xfId="79" applyFont="1" applyFill="1" applyBorder="1" applyAlignment="1">
      <alignment horizontal="center" vertical="center" wrapText="1"/>
    </xf>
    <xf numFmtId="9" fontId="25" fillId="0" borderId="30" xfId="79" applyFont="1" applyFill="1" applyBorder="1" applyAlignment="1">
      <alignment horizontal="center" vertical="center" wrapText="1"/>
    </xf>
    <xf numFmtId="0" fontId="67" fillId="0" borderId="79" xfId="44" applyFont="1" applyBorder="1" applyAlignment="1">
      <alignment horizontal="center" vertical="center" wrapText="1"/>
    </xf>
    <xf numFmtId="0" fontId="30" fillId="0" borderId="78" xfId="0" applyFont="1" applyBorder="1" applyAlignment="1">
      <alignment horizontal="center" vertical="center" wrapText="1"/>
    </xf>
    <xf numFmtId="9" fontId="2" fillId="0" borderId="30" xfId="79" applyFont="1" applyFill="1" applyBorder="1" applyAlignment="1">
      <alignment horizontal="center" vertical="center" wrapText="1"/>
    </xf>
    <xf numFmtId="0" fontId="2" fillId="0" borderId="79" xfId="44" applyFont="1" applyBorder="1" applyAlignment="1">
      <alignment horizontal="center" vertical="center" wrapText="1"/>
    </xf>
    <xf numFmtId="0" fontId="8" fillId="0" borderId="78" xfId="49" applyFont="1" applyBorder="1" applyAlignment="1">
      <alignment horizontal="center" vertical="center" wrapText="1"/>
    </xf>
    <xf numFmtId="9" fontId="8" fillId="0" borderId="30" xfId="79" applyFont="1" applyFill="1" applyBorder="1" applyAlignment="1">
      <alignment horizontal="center" vertical="center" wrapText="1"/>
    </xf>
    <xf numFmtId="0" fontId="8" fillId="0" borderId="79" xfId="49" applyFont="1" applyBorder="1" applyAlignment="1">
      <alignment vertical="center" wrapText="1"/>
    </xf>
    <xf numFmtId="187" fontId="25" fillId="0" borderId="30" xfId="17" applyNumberFormat="1" applyFont="1" applyFill="1" applyBorder="1" applyAlignment="1">
      <alignment horizontal="right" vertical="center" wrapText="1"/>
    </xf>
    <xf numFmtId="0" fontId="31" fillId="0" borderId="78" xfId="44" applyFont="1" applyBorder="1" applyAlignment="1">
      <alignment vertical="center" wrapText="1"/>
    </xf>
    <xf numFmtId="0" fontId="31" fillId="0" borderId="79" xfId="44" applyFont="1" applyBorder="1" applyAlignment="1">
      <alignment vertical="center" wrapText="1"/>
    </xf>
    <xf numFmtId="0" fontId="39" fillId="0" borderId="79" xfId="44" applyFont="1" applyBorder="1" applyAlignment="1">
      <alignment vertical="center" wrapText="1"/>
    </xf>
    <xf numFmtId="0" fontId="67" fillId="0" borderId="78" xfId="49" applyFont="1" applyBorder="1" applyAlignment="1">
      <alignment horizontal="center" vertical="center" wrapText="1"/>
    </xf>
    <xf numFmtId="0" fontId="67" fillId="0" borderId="30" xfId="44" applyFont="1" applyBorder="1" applyAlignment="1">
      <alignment horizontal="right" vertical="center" wrapText="1"/>
    </xf>
    <xf numFmtId="0" fontId="67" fillId="0" borderId="79" xfId="49" applyFont="1" applyBorder="1" applyAlignment="1">
      <alignment vertical="center" wrapText="1"/>
    </xf>
    <xf numFmtId="0" fontId="2" fillId="0" borderId="78" xfId="49" applyFont="1" applyBorder="1" applyAlignment="1">
      <alignment horizontal="center" vertical="center" wrapText="1"/>
    </xf>
    <xf numFmtId="0" fontId="2" fillId="0" borderId="79" xfId="49" applyFont="1" applyBorder="1" applyAlignment="1">
      <alignment vertical="center" wrapText="1"/>
    </xf>
    <xf numFmtId="9" fontId="0" fillId="0" borderId="30" xfId="79" applyFont="1" applyFill="1" applyBorder="1" applyAlignment="1">
      <alignment horizontal="center" vertical="center" wrapText="1"/>
    </xf>
    <xf numFmtId="0" fontId="0" fillId="0" borderId="30" xfId="0" applyBorder="1" applyAlignment="1">
      <alignment horizontal="right" vertical="center" wrapText="1"/>
    </xf>
    <xf numFmtId="0" fontId="67" fillId="0" borderId="79" xfId="44" applyFont="1" applyBorder="1" applyAlignment="1">
      <alignment vertical="center" wrapText="1"/>
    </xf>
    <xf numFmtId="0" fontId="8" fillId="0" borderId="78" xfId="44" applyFont="1" applyBorder="1" applyAlignment="1">
      <alignment horizontal="center" vertical="center" wrapText="1"/>
    </xf>
    <xf numFmtId="0" fontId="8" fillId="0" borderId="79" xfId="44" applyFont="1" applyBorder="1" applyAlignment="1">
      <alignment vertical="center" wrapText="1"/>
    </xf>
    <xf numFmtId="0" fontId="2" fillId="0" borderId="78" xfId="44" applyFont="1" applyBorder="1" applyAlignment="1">
      <alignment horizontal="center" vertical="center" wrapText="1"/>
    </xf>
    <xf numFmtId="0" fontId="2" fillId="0" borderId="79" xfId="44" applyFont="1" applyBorder="1" applyAlignment="1">
      <alignment vertical="center" wrapText="1"/>
    </xf>
    <xf numFmtId="0" fontId="67" fillId="0" borderId="78" xfId="44" applyFont="1" applyBorder="1" applyAlignment="1">
      <alignment horizontal="center" vertical="center" wrapText="1"/>
    </xf>
    <xf numFmtId="41" fontId="67" fillId="0" borderId="30" xfId="87" applyFont="1" applyFill="1" applyBorder="1" applyAlignment="1">
      <alignment horizontal="right" vertical="center" wrapText="1"/>
    </xf>
    <xf numFmtId="14" fontId="25" fillId="0" borderId="79" xfId="49" applyNumberFormat="1" applyFont="1" applyBorder="1" applyAlignment="1">
      <alignment horizontal="right" vertical="center" wrapText="1"/>
    </xf>
    <xf numFmtId="3" fontId="8" fillId="0" borderId="30" xfId="49" applyNumberFormat="1" applyFont="1" applyBorder="1" applyAlignment="1">
      <alignment horizontal="center" vertical="center" wrapText="1"/>
    </xf>
    <xf numFmtId="187" fontId="8" fillId="0" borderId="30" xfId="17" applyNumberFormat="1" applyFont="1" applyFill="1" applyBorder="1" applyAlignment="1">
      <alignment horizontal="right" vertical="center" wrapText="1"/>
    </xf>
    <xf numFmtId="0" fontId="70" fillId="0" borderId="79" xfId="89" applyFont="1" applyBorder="1" applyAlignment="1">
      <alignment vertical="center" wrapText="1"/>
    </xf>
    <xf numFmtId="167" fontId="25" fillId="0" borderId="30" xfId="44" applyNumberFormat="1" applyFont="1" applyBorder="1" applyAlignment="1">
      <alignment horizontal="right" vertical="center" wrapText="1"/>
    </xf>
    <xf numFmtId="0" fontId="32" fillId="0" borderId="79" xfId="44" applyFont="1" applyBorder="1" applyAlignment="1">
      <alignment horizontal="center" vertical="center" wrapText="1"/>
    </xf>
    <xf numFmtId="0" fontId="31" fillId="0" borderId="43" xfId="44" applyFont="1" applyBorder="1" applyAlignment="1">
      <alignment horizontal="left" vertical="center" wrapText="1"/>
    </xf>
    <xf numFmtId="3" fontId="25" fillId="0" borderId="43" xfId="44" applyNumberFormat="1" applyFont="1" applyBorder="1" applyAlignment="1">
      <alignment horizontal="center" vertical="center" wrapText="1"/>
    </xf>
    <xf numFmtId="0" fontId="25" fillId="0" borderId="43" xfId="39" applyFont="1" applyBorder="1" applyAlignment="1">
      <alignment vertical="center" wrapText="1"/>
    </xf>
    <xf numFmtId="3" fontId="25" fillId="0" borderId="43" xfId="39" applyNumberFormat="1" applyFont="1" applyBorder="1" applyAlignment="1">
      <alignment horizontal="center" vertical="center" wrapText="1"/>
    </xf>
    <xf numFmtId="0" fontId="25" fillId="0" borderId="43" xfId="49" applyFont="1" applyBorder="1" applyAlignment="1">
      <alignment horizontal="left" vertical="center" wrapText="1"/>
    </xf>
    <xf numFmtId="0" fontId="25" fillId="0" borderId="43" xfId="49" applyFont="1" applyBorder="1" applyAlignment="1">
      <alignment horizontal="center" vertical="center" wrapText="1"/>
    </xf>
    <xf numFmtId="9" fontId="25" fillId="0" borderId="43" xfId="79" applyFont="1" applyFill="1" applyBorder="1" applyAlignment="1">
      <alignment horizontal="center" vertical="center" wrapText="1"/>
    </xf>
    <xf numFmtId="187" fontId="25" fillId="0" borderId="43" xfId="17" applyNumberFormat="1" applyFont="1" applyFill="1" applyBorder="1" applyAlignment="1">
      <alignment horizontal="right" vertical="center" wrapText="1"/>
    </xf>
    <xf numFmtId="14" fontId="25" fillId="0" borderId="43" xfId="48" applyNumberFormat="1" applyFont="1" applyBorder="1" applyAlignment="1">
      <alignment horizontal="center" vertical="center" wrapText="1"/>
    </xf>
    <xf numFmtId="0" fontId="31" fillId="0" borderId="43" xfId="44" applyFont="1" applyBorder="1" applyAlignment="1">
      <alignment vertical="center" wrapText="1"/>
    </xf>
    <xf numFmtId="1" fontId="8" fillId="0" borderId="0" xfId="44" applyNumberFormat="1" applyFont="1" applyAlignment="1">
      <alignment horizontal="center" vertical="center" wrapText="1"/>
    </xf>
    <xf numFmtId="0" fontId="8" fillId="0" borderId="0" xfId="49" applyFont="1" applyAlignment="1">
      <alignment horizontal="center" vertical="center" wrapText="1"/>
    </xf>
    <xf numFmtId="9" fontId="8" fillId="0" borderId="0" xfId="79" applyFont="1" applyBorder="1" applyAlignment="1">
      <alignment horizontal="center" vertical="center" wrapText="1"/>
    </xf>
    <xf numFmtId="172" fontId="8" fillId="0" borderId="0" xfId="79" applyNumberFormat="1" applyFont="1" applyFill="1" applyBorder="1" applyAlignment="1">
      <alignment horizontal="center" vertical="center" wrapText="1"/>
    </xf>
    <xf numFmtId="3" fontId="8" fillId="0" borderId="0" xfId="22" applyNumberFormat="1" applyFont="1" applyFill="1" applyBorder="1" applyAlignment="1">
      <alignment vertical="center" wrapText="1"/>
    </xf>
    <xf numFmtId="172" fontId="8" fillId="0" borderId="0" xfId="69" applyNumberFormat="1" applyFont="1" applyFill="1" applyBorder="1" applyAlignment="1">
      <alignment vertical="center" wrapText="1"/>
    </xf>
    <xf numFmtId="0" fontId="96" fillId="0" borderId="0" xfId="0" applyFont="1" applyAlignment="1">
      <alignment vertical="top" wrapText="1"/>
    </xf>
    <xf numFmtId="0" fontId="39" fillId="0" borderId="0" xfId="44" applyFont="1" applyAlignment="1">
      <alignment vertical="center" wrapText="1"/>
    </xf>
    <xf numFmtId="0" fontId="8" fillId="0" borderId="0" xfId="44" applyFont="1" applyAlignment="1">
      <alignment horizontal="left" vertical="center" wrapText="1"/>
    </xf>
    <xf numFmtId="9" fontId="8" fillId="0" borderId="0" xfId="69" applyFont="1" applyFill="1" applyBorder="1" applyAlignment="1">
      <alignment horizontal="center" vertical="center" wrapText="1"/>
    </xf>
    <xf numFmtId="9" fontId="8" fillId="0" borderId="0" xfId="79" applyFont="1" applyBorder="1" applyAlignment="1">
      <alignment horizontal="right" vertical="center"/>
    </xf>
    <xf numFmtId="0" fontId="8" fillId="0" borderId="0" xfId="0" applyFont="1" applyAlignment="1">
      <alignment horizontal="center" vertical="center" wrapText="1"/>
    </xf>
    <xf numFmtId="3" fontId="39" fillId="0" borderId="0" xfId="21" applyNumberFormat="1" applyFont="1" applyFill="1" applyBorder="1" applyAlignment="1">
      <alignment vertical="center" wrapText="1"/>
    </xf>
    <xf numFmtId="0" fontId="32" fillId="0" borderId="13" xfId="0" applyFont="1" applyBorder="1" applyAlignment="1">
      <alignment horizontal="center" vertical="center" wrapText="1"/>
    </xf>
    <xf numFmtId="0" fontId="33" fillId="0" borderId="13" xfId="0" applyFont="1" applyBorder="1" applyAlignment="1">
      <alignment vertical="center" wrapText="1"/>
    </xf>
    <xf numFmtId="0" fontId="32" fillId="0" borderId="13" xfId="0" applyFont="1" applyBorder="1" applyAlignment="1">
      <alignment horizontal="left" vertical="center" wrapText="1"/>
    </xf>
    <xf numFmtId="0" fontId="32" fillId="0" borderId="13" xfId="0" applyFont="1" applyBorder="1" applyAlignment="1">
      <alignment vertical="center" wrapText="1"/>
    </xf>
    <xf numFmtId="9" fontId="32" fillId="0" borderId="13" xfId="63" applyFont="1" applyFill="1" applyBorder="1" applyAlignment="1">
      <alignment horizontal="right" vertical="center" wrapText="1"/>
    </xf>
    <xf numFmtId="9" fontId="39" fillId="0" borderId="13" xfId="63" applyFont="1" applyFill="1" applyBorder="1" applyAlignment="1">
      <alignment horizontal="right" vertical="center" wrapText="1"/>
    </xf>
    <xf numFmtId="3" fontId="39" fillId="0" borderId="18" xfId="0" applyNumberFormat="1" applyFont="1" applyBorder="1" applyAlignment="1">
      <alignment vertical="center" wrapText="1"/>
    </xf>
    <xf numFmtId="9" fontId="39" fillId="0" borderId="18" xfId="63" applyFont="1" applyFill="1" applyBorder="1" applyAlignment="1">
      <alignment vertical="center" wrapText="1"/>
    </xf>
    <xf numFmtId="0" fontId="39" fillId="0" borderId="18" xfId="0" applyFont="1" applyBorder="1" applyAlignment="1">
      <alignment vertical="center" wrapText="1"/>
    </xf>
    <xf numFmtId="9" fontId="32" fillId="0" borderId="10" xfId="63" applyFont="1" applyFill="1" applyBorder="1" applyAlignment="1">
      <alignment horizontal="right" vertical="center" wrapText="1"/>
    </xf>
    <xf numFmtId="9" fontId="39" fillId="0" borderId="10" xfId="63" applyFont="1" applyFill="1" applyBorder="1" applyAlignment="1">
      <alignment horizontal="right" vertical="center" wrapText="1"/>
    </xf>
    <xf numFmtId="9" fontId="39" fillId="0" borderId="10" xfId="63" applyFont="1" applyFill="1" applyBorder="1" applyAlignment="1">
      <alignment vertical="center" wrapText="1"/>
    </xf>
    <xf numFmtId="9" fontId="30" fillId="0" borderId="10" xfId="63" applyFont="1" applyFill="1" applyBorder="1" applyAlignment="1">
      <alignment horizontal="right" vertical="center" wrapText="1"/>
    </xf>
    <xf numFmtId="9" fontId="31" fillId="0" borderId="10" xfId="63" applyFont="1" applyFill="1" applyBorder="1" applyAlignment="1">
      <alignment horizontal="right" vertical="center" wrapText="1"/>
    </xf>
    <xf numFmtId="9" fontId="31" fillId="0" borderId="10" xfId="63" applyFont="1" applyFill="1" applyBorder="1" applyAlignment="1">
      <alignment vertical="center" wrapText="1"/>
    </xf>
    <xf numFmtId="14" fontId="31" fillId="0" borderId="10" xfId="0" applyNumberFormat="1" applyFont="1" applyBorder="1" applyAlignment="1">
      <alignment vertical="center" wrapText="1"/>
    </xf>
    <xf numFmtId="3" fontId="39" fillId="0" borderId="10" xfId="0" applyNumberFormat="1" applyFont="1" applyBorder="1" applyAlignment="1">
      <alignment horizontal="right" vertical="center" wrapText="1"/>
    </xf>
    <xf numFmtId="0" fontId="31" fillId="0" borderId="15" xfId="0" applyFont="1" applyBorder="1" applyAlignment="1">
      <alignment horizontal="left" vertical="center" wrapText="1"/>
    </xf>
    <xf numFmtId="0" fontId="31" fillId="0" borderId="0" xfId="0" applyFont="1" applyAlignment="1">
      <alignment horizontal="justify" vertical="center"/>
    </xf>
    <xf numFmtId="9" fontId="39" fillId="0" borderId="10" xfId="63" applyFont="1" applyFill="1" applyBorder="1" applyAlignment="1">
      <alignment horizontal="left" vertical="center" wrapText="1"/>
    </xf>
    <xf numFmtId="3" fontId="32" fillId="0" borderId="10" xfId="0" applyNumberFormat="1" applyFont="1" applyBorder="1" applyAlignment="1">
      <alignment horizontal="right" vertical="center" wrapText="1"/>
    </xf>
    <xf numFmtId="3" fontId="30" fillId="0" borderId="10" xfId="0" applyNumberFormat="1" applyFont="1" applyBorder="1" applyAlignment="1">
      <alignment horizontal="right" vertical="center" wrapText="1"/>
    </xf>
    <xf numFmtId="9" fontId="39" fillId="0" borderId="13" xfId="63" applyFont="1" applyFill="1" applyBorder="1" applyAlignment="1">
      <alignment horizontal="left" vertical="center" wrapText="1"/>
    </xf>
    <xf numFmtId="9" fontId="31" fillId="0" borderId="10" xfId="63" applyFont="1" applyFill="1" applyBorder="1" applyAlignment="1">
      <alignment horizontal="left" vertical="center"/>
    </xf>
    <xf numFmtId="3" fontId="72" fillId="0" borderId="10" xfId="0" applyNumberFormat="1" applyFont="1" applyBorder="1" applyAlignment="1">
      <alignment vertical="center" wrapText="1"/>
    </xf>
    <xf numFmtId="9" fontId="72" fillId="0" borderId="10" xfId="63" applyFont="1" applyFill="1" applyBorder="1" applyAlignment="1">
      <alignment vertical="center" wrapText="1"/>
    </xf>
    <xf numFmtId="0" fontId="67" fillId="0" borderId="42" xfId="49" applyFont="1" applyBorder="1" applyAlignment="1">
      <alignment vertical="center"/>
    </xf>
    <xf numFmtId="0" fontId="67" fillId="0" borderId="42" xfId="45" applyFont="1" applyBorder="1" applyAlignment="1">
      <alignment horizontal="center" vertical="center"/>
    </xf>
    <xf numFmtId="0" fontId="6" fillId="0" borderId="42" xfId="45" applyFont="1" applyBorder="1" applyAlignment="1">
      <alignment vertical="center"/>
    </xf>
    <xf numFmtId="0" fontId="67" fillId="0" borderId="42" xfId="49" applyFont="1" applyBorder="1" applyAlignment="1">
      <alignment horizontal="left" vertical="center" wrapText="1"/>
    </xf>
    <xf numFmtId="3" fontId="8" fillId="0" borderId="42" xfId="49" applyNumberFormat="1" applyFont="1" applyBorder="1" applyAlignment="1">
      <alignment vertical="center" wrapText="1"/>
    </xf>
    <xf numFmtId="0" fontId="8" fillId="0" borderId="42" xfId="49" applyFont="1" applyBorder="1" applyAlignment="1">
      <alignment horizontal="left" vertical="center" wrapText="1"/>
    </xf>
    <xf numFmtId="0" fontId="8" fillId="0" borderId="42" xfId="49" applyFont="1" applyBorder="1" applyAlignment="1">
      <alignment vertical="center"/>
    </xf>
    <xf numFmtId="0" fontId="67" fillId="0" borderId="42" xfId="44" applyFont="1" applyBorder="1" applyAlignment="1">
      <alignment vertical="center"/>
    </xf>
    <xf numFmtId="0" fontId="25" fillId="0" borderId="82" xfId="0" applyFont="1" applyBorder="1" applyAlignment="1">
      <alignment horizontal="center" vertical="center"/>
    </xf>
    <xf numFmtId="0" fontId="25" fillId="0" borderId="82" xfId="0" applyFont="1" applyBorder="1" applyAlignment="1">
      <alignment horizontal="left" vertical="center" wrapText="1"/>
    </xf>
    <xf numFmtId="0" fontId="25" fillId="0" borderId="33" xfId="0" applyFont="1" applyBorder="1" applyAlignment="1">
      <alignment horizontal="center" vertical="center"/>
    </xf>
    <xf numFmtId="3" fontId="25" fillId="0" borderId="83" xfId="0" applyNumberFormat="1" applyFont="1" applyBorder="1" applyAlignment="1">
      <alignment vertical="center"/>
    </xf>
    <xf numFmtId="3" fontId="25" fillId="0" borderId="82" xfId="0" applyNumberFormat="1" applyFont="1" applyBorder="1" applyAlignment="1">
      <alignment vertical="center"/>
    </xf>
    <xf numFmtId="3" fontId="31" fillId="0" borderId="4" xfId="0" applyNumberFormat="1" applyFont="1" applyBorder="1" applyAlignment="1">
      <alignment horizontal="right" vertical="center" wrapText="1"/>
    </xf>
    <xf numFmtId="3" fontId="2" fillId="0" borderId="33" xfId="49" applyNumberFormat="1" applyFont="1" applyBorder="1" applyAlignment="1">
      <alignment vertical="center" wrapText="1"/>
    </xf>
    <xf numFmtId="0" fontId="25" fillId="0" borderId="4" xfId="44" applyFont="1" applyBorder="1" applyAlignment="1">
      <alignment vertical="center"/>
    </xf>
    <xf numFmtId="0" fontId="2" fillId="0" borderId="8" xfId="43" applyFont="1" applyBorder="1" applyAlignment="1">
      <alignment vertical="center" wrapText="1"/>
    </xf>
    <xf numFmtId="172" fontId="25" fillId="0" borderId="82" xfId="69" applyNumberFormat="1" applyFont="1" applyFill="1" applyBorder="1" applyAlignment="1">
      <alignment horizontal="center" vertical="center"/>
    </xf>
    <xf numFmtId="172" fontId="25" fillId="0" borderId="82" xfId="0" applyNumberFormat="1" applyFont="1" applyBorder="1" applyAlignment="1">
      <alignment vertical="center"/>
    </xf>
    <xf numFmtId="3" fontId="31" fillId="0" borderId="82" xfId="49" applyNumberFormat="1" applyFont="1" applyBorder="1" applyAlignment="1">
      <alignment vertical="center" wrapText="1"/>
    </xf>
    <xf numFmtId="172" fontId="25" fillId="0" borderId="82" xfId="69" applyNumberFormat="1" applyFont="1" applyFill="1" applyBorder="1" applyAlignment="1">
      <alignment horizontal="right" vertical="center" wrapText="1"/>
    </xf>
    <xf numFmtId="14" fontId="25" fillId="0" borderId="82" xfId="44" applyNumberFormat="1" applyFont="1" applyBorder="1" applyAlignment="1">
      <alignment vertical="center"/>
    </xf>
    <xf numFmtId="0" fontId="25" fillId="0" borderId="82" xfId="44" applyFont="1" applyBorder="1" applyAlignment="1">
      <alignment vertical="center" wrapText="1"/>
    </xf>
    <xf numFmtId="0" fontId="25" fillId="0" borderId="43" xfId="0" applyFont="1" applyBorder="1" applyAlignment="1">
      <alignment horizontal="center" vertical="center"/>
    </xf>
    <xf numFmtId="0" fontId="25" fillId="0" borderId="43" xfId="0" applyFont="1" applyBorder="1" applyAlignment="1">
      <alignment horizontal="left" vertical="center" wrapText="1"/>
    </xf>
    <xf numFmtId="9" fontId="25" fillId="0" borderId="43" xfId="79" applyFont="1" applyFill="1" applyBorder="1" applyAlignment="1">
      <alignment horizontal="center" vertical="center"/>
    </xf>
    <xf numFmtId="3" fontId="25" fillId="0" borderId="43" xfId="0" applyNumberFormat="1" applyFont="1" applyBorder="1" applyAlignment="1">
      <alignment vertical="center"/>
    </xf>
    <xf numFmtId="172" fontId="25" fillId="0" borderId="43" xfId="0" applyNumberFormat="1" applyFont="1" applyBorder="1" applyAlignment="1">
      <alignment vertical="center"/>
    </xf>
    <xf numFmtId="0" fontId="25" fillId="0" borderId="43" xfId="44" applyFont="1" applyBorder="1" applyAlignment="1">
      <alignment vertical="center"/>
    </xf>
    <xf numFmtId="172" fontId="25" fillId="0" borderId="43" xfId="69" applyNumberFormat="1" applyFont="1" applyFill="1" applyBorder="1" applyAlignment="1">
      <alignment horizontal="right" vertical="center" wrapText="1"/>
    </xf>
    <xf numFmtId="172" fontId="25" fillId="0" borderId="43" xfId="69" applyNumberFormat="1" applyFont="1" applyFill="1" applyBorder="1" applyAlignment="1">
      <alignment vertical="center"/>
    </xf>
    <xf numFmtId="14" fontId="25" fillId="0" borderId="43" xfId="44" applyNumberFormat="1" applyFont="1" applyBorder="1" applyAlignment="1">
      <alignment vertical="center"/>
    </xf>
    <xf numFmtId="0" fontId="25" fillId="0" borderId="43" xfId="44" applyFont="1" applyBorder="1" applyAlignment="1">
      <alignment vertical="top" wrapText="1"/>
    </xf>
    <xf numFmtId="0" fontId="31" fillId="0" borderId="46" xfId="0" applyFont="1" applyBorder="1" applyAlignment="1">
      <alignment vertical="center"/>
    </xf>
    <xf numFmtId="10" fontId="31" fillId="0" borderId="10" xfId="0" applyNumberFormat="1" applyFont="1" applyBorder="1" applyAlignment="1">
      <alignment horizontal="left" vertical="center"/>
    </xf>
    <xf numFmtId="199" fontId="31" fillId="0" borderId="10" xfId="0" applyNumberFormat="1" applyFont="1" applyBorder="1" applyAlignment="1">
      <alignment vertical="center"/>
    </xf>
    <xf numFmtId="199" fontId="31" fillId="0" borderId="10" xfId="0" applyNumberFormat="1" applyFont="1" applyBorder="1" applyAlignment="1">
      <alignment vertical="center" wrapText="1"/>
    </xf>
    <xf numFmtId="10" fontId="31" fillId="0" borderId="10" xfId="0" applyNumberFormat="1" applyFont="1" applyBorder="1" applyAlignment="1">
      <alignment horizontal="left" vertical="center" wrapText="1"/>
    </xf>
    <xf numFmtId="49" fontId="31" fillId="0" borderId="10" xfId="0" applyNumberFormat="1" applyFont="1" applyBorder="1" applyAlignment="1">
      <alignment horizontal="left" vertical="center"/>
    </xf>
    <xf numFmtId="10" fontId="31" fillId="0" borderId="10" xfId="0" applyNumberFormat="1" applyFont="1" applyBorder="1" applyAlignment="1">
      <alignment horizontal="center" vertical="center" wrapText="1"/>
    </xf>
    <xf numFmtId="199" fontId="31" fillId="0" borderId="10" xfId="0" applyNumberFormat="1" applyFont="1" applyBorder="1" applyAlignment="1">
      <alignment horizontal="right" vertical="center"/>
    </xf>
    <xf numFmtId="184" fontId="31" fillId="0" borderId="10" xfId="0" applyNumberFormat="1" applyFont="1" applyBorder="1" applyAlignment="1">
      <alignment horizontal="center" vertical="center"/>
    </xf>
    <xf numFmtId="177" fontId="31" fillId="0" borderId="34" xfId="0" applyNumberFormat="1" applyFont="1" applyBorder="1" applyAlignment="1">
      <alignment horizontal="center" vertical="center"/>
    </xf>
    <xf numFmtId="200" fontId="31" fillId="0" borderId="10" xfId="0" applyNumberFormat="1" applyFont="1" applyBorder="1" applyAlignment="1">
      <alignment vertical="center" wrapText="1"/>
    </xf>
    <xf numFmtId="3" fontId="31" fillId="0" borderId="85" xfId="0" applyNumberFormat="1" applyFont="1" applyBorder="1" applyAlignment="1">
      <alignment horizontal="left" vertical="center" wrapText="1"/>
    </xf>
    <xf numFmtId="3" fontId="36" fillId="0" borderId="10" xfId="0" applyNumberFormat="1" applyFont="1" applyBorder="1" applyAlignment="1">
      <alignment horizontal="left" vertical="center" wrapText="1"/>
    </xf>
    <xf numFmtId="201" fontId="31" fillId="0" borderId="10" xfId="0" applyNumberFormat="1" applyFont="1" applyBorder="1" applyAlignment="1">
      <alignment vertical="center" wrapText="1"/>
    </xf>
    <xf numFmtId="0" fontId="36" fillId="0" borderId="34" xfId="0" applyFont="1" applyBorder="1" applyAlignment="1">
      <alignment vertical="center"/>
    </xf>
    <xf numFmtId="2" fontId="31" fillId="0" borderId="10" xfId="63" applyNumberFormat="1" applyFont="1" applyFill="1" applyBorder="1" applyAlignment="1">
      <alignment vertical="center" wrapText="1"/>
    </xf>
    <xf numFmtId="200" fontId="31" fillId="0" borderId="10" xfId="0" applyNumberFormat="1" applyFont="1" applyBorder="1" applyAlignment="1">
      <alignment horizontal="center" vertical="center"/>
    </xf>
    <xf numFmtId="3" fontId="36" fillId="0" borderId="86" xfId="0" applyNumberFormat="1" applyFont="1" applyBorder="1" applyAlignment="1">
      <alignment horizontal="left" vertical="center" wrapText="1"/>
    </xf>
    <xf numFmtId="49" fontId="31" fillId="0" borderId="0" xfId="0" applyNumberFormat="1" applyFont="1" applyAlignment="1">
      <alignment horizontal="left" vertical="center"/>
    </xf>
    <xf numFmtId="1" fontId="31" fillId="0" borderId="0" xfId="0" applyNumberFormat="1" applyFont="1" applyAlignment="1">
      <alignment horizontal="center" vertical="center" wrapText="1"/>
    </xf>
    <xf numFmtId="0" fontId="31" fillId="0" borderId="0" xfId="0" applyFont="1" applyAlignment="1">
      <alignment horizontal="right" vertical="center" wrapText="1"/>
    </xf>
    <xf numFmtId="10" fontId="31" fillId="0" borderId="0" xfId="0" applyNumberFormat="1" applyFont="1" applyAlignment="1">
      <alignment vertical="center" wrapText="1"/>
    </xf>
    <xf numFmtId="10" fontId="31" fillId="0" borderId="0" xfId="0" applyNumberFormat="1" applyFont="1" applyAlignment="1">
      <alignment horizontal="right" vertical="center" wrapText="1"/>
    </xf>
    <xf numFmtId="10" fontId="31" fillId="0" borderId="0" xfId="0" applyNumberFormat="1" applyFont="1" applyAlignment="1">
      <alignment horizontal="center" vertical="center"/>
    </xf>
    <xf numFmtId="199" fontId="31" fillId="0" borderId="0" xfId="0" applyNumberFormat="1" applyFont="1" applyAlignment="1">
      <alignment vertical="center"/>
    </xf>
    <xf numFmtId="199" fontId="31" fillId="0" borderId="0" xfId="0" applyNumberFormat="1" applyFont="1" applyAlignment="1">
      <alignment horizontal="right" vertical="center"/>
    </xf>
    <xf numFmtId="3" fontId="31" fillId="0" borderId="0" xfId="0" applyNumberFormat="1" applyFont="1" applyAlignment="1">
      <alignment horizontal="right" vertical="center"/>
    </xf>
    <xf numFmtId="3" fontId="31" fillId="0" borderId="0" xfId="0" applyNumberFormat="1" applyFont="1" applyAlignment="1">
      <alignment horizontal="center" vertical="center"/>
    </xf>
    <xf numFmtId="1" fontId="31" fillId="0" borderId="0" xfId="0" applyNumberFormat="1" applyFont="1" applyAlignment="1">
      <alignment horizontal="center" vertical="center"/>
    </xf>
    <xf numFmtId="10" fontId="31" fillId="0" borderId="0" xfId="0" applyNumberFormat="1" applyFont="1" applyAlignment="1">
      <alignment horizontal="left" vertical="center"/>
    </xf>
    <xf numFmtId="202" fontId="56" fillId="0" borderId="0" xfId="0" applyNumberFormat="1" applyFont="1" applyAlignment="1">
      <alignment vertical="center"/>
    </xf>
    <xf numFmtId="0" fontId="41" fillId="0" borderId="18" xfId="0" applyFont="1" applyBorder="1" applyAlignment="1">
      <alignment vertical="center" wrapText="1"/>
    </xf>
    <xf numFmtId="0" fontId="31" fillId="0" borderId="44" xfId="0" applyFont="1" applyBorder="1" applyAlignment="1">
      <alignment horizontal="center" vertical="center" wrapText="1"/>
    </xf>
    <xf numFmtId="0" fontId="32" fillId="0" borderId="87" xfId="0" applyFont="1" applyBorder="1" applyAlignment="1">
      <alignment horizontal="center" vertical="center" wrapText="1"/>
    </xf>
    <xf numFmtId="0" fontId="41" fillId="0" borderId="10" xfId="0" applyFont="1" applyBorder="1" applyAlignment="1">
      <alignment vertical="center" wrapText="1"/>
    </xf>
    <xf numFmtId="9" fontId="41" fillId="0" borderId="10" xfId="0" applyNumberFormat="1" applyFont="1" applyBorder="1" applyAlignment="1">
      <alignment vertical="center" wrapText="1"/>
    </xf>
    <xf numFmtId="0" fontId="41" fillId="0" borderId="13" xfId="0" applyFont="1" applyBorder="1" applyAlignment="1">
      <alignment vertical="center" wrapText="1"/>
    </xf>
    <xf numFmtId="0" fontId="32" fillId="0" borderId="57" xfId="0" applyFont="1" applyBorder="1" applyAlignment="1">
      <alignment horizontal="center" vertical="center" wrapText="1"/>
    </xf>
    <xf numFmtId="1" fontId="31" fillId="0" borderId="48" xfId="0" applyNumberFormat="1" applyFont="1" applyBorder="1" applyAlignment="1">
      <alignment horizontal="center" vertical="center" wrapText="1"/>
    </xf>
    <xf numFmtId="1" fontId="30" fillId="0" borderId="57" xfId="0" applyNumberFormat="1" applyFont="1" applyBorder="1" applyAlignment="1">
      <alignment horizontal="center" vertical="center" wrapText="1"/>
    </xf>
    <xf numFmtId="177" fontId="41" fillId="0" borderId="10" xfId="0" applyNumberFormat="1" applyFont="1" applyBorder="1" applyAlignment="1">
      <alignment vertical="center" wrapText="1"/>
    </xf>
    <xf numFmtId="187" fontId="31" fillId="0" borderId="34" xfId="0" applyNumberFormat="1" applyFont="1" applyBorder="1" applyAlignment="1">
      <alignment horizontal="right" vertical="center"/>
    </xf>
    <xf numFmtId="10" fontId="39" fillId="0" borderId="10" xfId="0" applyNumberFormat="1" applyFont="1" applyBorder="1" applyAlignment="1">
      <alignment horizontal="right" vertical="center" wrapText="1"/>
    </xf>
    <xf numFmtId="9" fontId="41" fillId="0" borderId="10" xfId="0" applyNumberFormat="1" applyFont="1" applyBorder="1" applyAlignment="1">
      <alignment horizontal="center" vertical="center" wrapText="1"/>
    </xf>
    <xf numFmtId="0" fontId="30" fillId="0" borderId="57" xfId="0" applyFont="1" applyBorder="1" applyAlignment="1">
      <alignment horizontal="center" vertical="center" wrapText="1"/>
    </xf>
    <xf numFmtId="9" fontId="31" fillId="0" borderId="34" xfId="0" applyNumberFormat="1" applyFont="1" applyBorder="1" applyAlignment="1">
      <alignment horizontal="center" vertical="center" wrapText="1"/>
    </xf>
    <xf numFmtId="172" fontId="31" fillId="0" borderId="48" xfId="0" applyNumberFormat="1" applyFont="1" applyBorder="1" applyAlignment="1">
      <alignment horizontal="right" vertical="center"/>
    </xf>
    <xf numFmtId="172" fontId="31" fillId="0" borderId="34" xfId="0" applyNumberFormat="1" applyFont="1" applyBorder="1" applyAlignment="1">
      <alignment horizontal="center" vertical="center" wrapText="1"/>
    </xf>
    <xf numFmtId="187" fontId="31" fillId="0" borderId="34" xfId="0" applyNumberFormat="1" applyFont="1" applyBorder="1" applyAlignment="1">
      <alignment horizontal="right" vertical="center" wrapText="1"/>
    </xf>
    <xf numFmtId="1" fontId="32" fillId="0" borderId="57" xfId="0" applyNumberFormat="1" applyFont="1" applyBorder="1" applyAlignment="1">
      <alignment horizontal="center" vertical="center" wrapText="1"/>
    </xf>
    <xf numFmtId="172" fontId="31" fillId="0" borderId="66" xfId="0" applyNumberFormat="1" applyFont="1" applyBorder="1" applyAlignment="1">
      <alignment horizontal="center" vertical="center" wrapText="1"/>
    </xf>
    <xf numFmtId="0" fontId="39" fillId="4" borderId="10" xfId="0" applyFont="1" applyFill="1" applyBorder="1" applyAlignment="1">
      <alignment horizontal="left" vertical="center" wrapText="1"/>
    </xf>
    <xf numFmtId="172" fontId="31" fillId="0" borderId="13" xfId="0" applyNumberFormat="1" applyFont="1" applyBorder="1" applyAlignment="1">
      <alignment horizontal="right" vertical="center"/>
    </xf>
    <xf numFmtId="0" fontId="30" fillId="0" borderId="34" xfId="0" applyFont="1" applyBorder="1" applyAlignment="1">
      <alignment vertical="center" wrapText="1"/>
    </xf>
    <xf numFmtId="3" fontId="31" fillId="0" borderId="13" xfId="0" applyNumberFormat="1" applyFont="1" applyBorder="1" applyAlignment="1">
      <alignment horizontal="center" vertical="center" wrapText="1"/>
    </xf>
    <xf numFmtId="172" fontId="31" fillId="0" borderId="48" xfId="0" applyNumberFormat="1" applyFont="1" applyBorder="1" applyAlignment="1">
      <alignment horizontal="center" vertical="center"/>
    </xf>
    <xf numFmtId="187" fontId="31" fillId="0" borderId="48" xfId="0" applyNumberFormat="1" applyFont="1" applyBorder="1" applyAlignment="1">
      <alignment horizontal="right" vertical="center"/>
    </xf>
    <xf numFmtId="0" fontId="41" fillId="0" borderId="0" xfId="0" applyFont="1" applyAlignment="1">
      <alignment vertical="center" wrapText="1"/>
    </xf>
    <xf numFmtId="0" fontId="124" fillId="0" borderId="10" xfId="0" applyFont="1" applyBorder="1" applyAlignment="1">
      <alignment horizontal="center" vertical="center" wrapText="1"/>
    </xf>
    <xf numFmtId="0" fontId="68" fillId="0" borderId="0" xfId="0" applyFont="1" applyAlignment="1">
      <alignment vertical="center" wrapText="1"/>
    </xf>
    <xf numFmtId="187" fontId="31" fillId="0" borderId="10" xfId="0" applyNumberFormat="1" applyFont="1" applyBorder="1" applyAlignment="1">
      <alignment horizontal="center" vertical="center" wrapText="1"/>
    </xf>
    <xf numFmtId="0" fontId="39" fillId="0" borderId="24" xfId="0" applyFont="1" applyBorder="1" applyAlignment="1">
      <alignment horizontal="center" vertical="center" wrapText="1"/>
    </xf>
    <xf numFmtId="0" fontId="32" fillId="8" borderId="18" xfId="0" applyFont="1" applyFill="1" applyBorder="1" applyAlignment="1">
      <alignment horizontal="center" vertical="center" wrapText="1"/>
    </xf>
    <xf numFmtId="0" fontId="87" fillId="8" borderId="18" xfId="0" applyFont="1" applyFill="1" applyBorder="1" applyAlignment="1">
      <alignment horizontal="center" vertical="center"/>
    </xf>
    <xf numFmtId="0" fontId="88" fillId="8" borderId="18" xfId="0" applyFont="1" applyFill="1" applyBorder="1" applyAlignment="1">
      <alignment vertical="center" wrapText="1"/>
    </xf>
    <xf numFmtId="0" fontId="32" fillId="0" borderId="18" xfId="0" applyFont="1" applyBorder="1" applyAlignment="1">
      <alignment vertical="center" wrapText="1"/>
    </xf>
    <xf numFmtId="0" fontId="39" fillId="0" borderId="18" xfId="0" applyFont="1" applyBorder="1" applyAlignment="1">
      <alignment horizontal="right" vertical="center"/>
    </xf>
    <xf numFmtId="0" fontId="31" fillId="0" borderId="18" xfId="0" applyFont="1" applyBorder="1" applyAlignment="1">
      <alignment vertical="center"/>
    </xf>
    <xf numFmtId="9" fontId="31" fillId="0" borderId="18" xfId="0" applyNumberFormat="1" applyFont="1" applyBorder="1" applyAlignment="1">
      <alignment vertical="center"/>
    </xf>
    <xf numFmtId="9" fontId="32" fillId="0" borderId="18" xfId="0" applyNumberFormat="1" applyFont="1" applyBorder="1" applyAlignment="1">
      <alignment horizontal="left" vertical="center" wrapText="1"/>
    </xf>
    <xf numFmtId="3" fontId="45" fillId="0" borderId="18" xfId="0" applyNumberFormat="1" applyFont="1" applyBorder="1" applyAlignment="1">
      <alignment vertical="center" wrapText="1"/>
    </xf>
    <xf numFmtId="3" fontId="45" fillId="0" borderId="18" xfId="0" applyNumberFormat="1" applyFont="1" applyBorder="1" applyAlignment="1">
      <alignment vertical="center"/>
    </xf>
    <xf numFmtId="0" fontId="42" fillId="0" borderId="18" xfId="0" applyFont="1" applyBorder="1" applyAlignment="1">
      <alignment vertical="center"/>
    </xf>
    <xf numFmtId="0" fontId="39" fillId="0" borderId="18" xfId="0" applyFont="1" applyBorder="1" applyAlignment="1">
      <alignment horizontal="left" vertical="center" wrapText="1"/>
    </xf>
    <xf numFmtId="0" fontId="98" fillId="0" borderId="18" xfId="0" applyFont="1" applyBorder="1" applyAlignment="1">
      <alignment horizontal="left" vertical="center" wrapText="1"/>
    </xf>
    <xf numFmtId="0" fontId="39" fillId="8" borderId="0" xfId="0" applyFont="1" applyFill="1"/>
    <xf numFmtId="0" fontId="87" fillId="8" borderId="10" xfId="0" applyFont="1" applyFill="1" applyBorder="1" applyAlignment="1">
      <alignment horizontal="center" vertical="center"/>
    </xf>
    <xf numFmtId="0" fontId="87" fillId="8" borderId="10" xfId="0" applyFont="1" applyFill="1" applyBorder="1" applyAlignment="1">
      <alignment vertical="center" wrapText="1"/>
    </xf>
    <xf numFmtId="3" fontId="45" fillId="0" borderId="10" xfId="0" applyNumberFormat="1" applyFont="1" applyBorder="1" applyAlignment="1">
      <alignment vertical="center" wrapText="1"/>
    </xf>
    <xf numFmtId="3" fontId="45" fillId="0" borderId="10" xfId="0" applyNumberFormat="1" applyFont="1" applyBorder="1" applyAlignment="1">
      <alignment vertical="center"/>
    </xf>
    <xf numFmtId="0" fontId="98" fillId="0" borderId="10" xfId="0" applyFont="1" applyBorder="1" applyAlignment="1">
      <alignment horizontal="left" vertical="center" wrapText="1"/>
    </xf>
    <xf numFmtId="0" fontId="81" fillId="8" borderId="10" xfId="0" applyFont="1" applyFill="1" applyBorder="1" applyAlignment="1">
      <alignment vertical="center" wrapText="1"/>
    </xf>
    <xf numFmtId="0" fontId="56" fillId="0" borderId="10" xfId="0" applyFont="1" applyBorder="1"/>
    <xf numFmtId="0" fontId="37" fillId="8" borderId="10" xfId="0" applyFont="1" applyFill="1" applyBorder="1" applyAlignment="1">
      <alignment horizontal="center" vertical="center" wrapText="1"/>
    </xf>
    <xf numFmtId="1" fontId="39" fillId="8" borderId="10" xfId="0" applyNumberFormat="1" applyFont="1" applyFill="1" applyBorder="1" applyAlignment="1">
      <alignment horizontal="center" vertical="center" wrapText="1"/>
    </xf>
    <xf numFmtId="0" fontId="37" fillId="8" borderId="10" xfId="0" applyFont="1" applyFill="1" applyBorder="1" applyAlignment="1">
      <alignment vertical="center" wrapText="1"/>
    </xf>
    <xf numFmtId="3" fontId="72" fillId="0" borderId="10" xfId="0" applyNumberFormat="1" applyFont="1" applyBorder="1" applyAlignment="1">
      <alignment vertical="center"/>
    </xf>
    <xf numFmtId="1" fontId="32" fillId="8" borderId="10" xfId="0" applyNumberFormat="1" applyFont="1" applyFill="1" applyBorder="1" applyAlignment="1">
      <alignment horizontal="center" vertical="center" wrapText="1"/>
    </xf>
    <xf numFmtId="0" fontId="87" fillId="8" borderId="10" xfId="0" applyFont="1" applyFill="1" applyBorder="1" applyAlignment="1">
      <alignment horizontal="left" vertical="center" wrapText="1"/>
    </xf>
    <xf numFmtId="1" fontId="30" fillId="8" borderId="10" xfId="0" applyNumberFormat="1" applyFont="1" applyFill="1" applyBorder="1" applyAlignment="1">
      <alignment horizontal="center" vertical="center" wrapText="1"/>
    </xf>
    <xf numFmtId="0" fontId="81" fillId="8" borderId="10" xfId="0" applyFont="1" applyFill="1" applyBorder="1" applyAlignment="1">
      <alignment horizontal="left" vertical="center" wrapText="1"/>
    </xf>
    <xf numFmtId="0" fontId="72" fillId="0" borderId="10" xfId="0" applyFont="1" applyBorder="1" applyAlignment="1">
      <alignment vertical="center"/>
    </xf>
    <xf numFmtId="0" fontId="31" fillId="8" borderId="13" xfId="0" applyFont="1" applyFill="1" applyBorder="1" applyAlignment="1">
      <alignment horizontal="center" vertical="center"/>
    </xf>
    <xf numFmtId="1" fontId="31" fillId="8" borderId="13" xfId="0" applyNumberFormat="1" applyFont="1" applyFill="1" applyBorder="1" applyAlignment="1">
      <alignment horizontal="center" vertical="center" wrapText="1"/>
    </xf>
    <xf numFmtId="0" fontId="37" fillId="8" borderId="10" xfId="0" applyFont="1" applyFill="1" applyBorder="1" applyAlignment="1">
      <alignment horizontal="left" vertical="center" wrapText="1"/>
    </xf>
    <xf numFmtId="0" fontId="31" fillId="11" borderId="10" xfId="0" applyFont="1" applyFill="1" applyBorder="1" applyAlignment="1">
      <alignment horizontal="center" vertical="center"/>
    </xf>
    <xf numFmtId="0" fontId="25" fillId="11" borderId="30" xfId="0" applyFont="1" applyFill="1" applyBorder="1" applyAlignment="1">
      <alignment horizontal="center" vertical="center"/>
    </xf>
    <xf numFmtId="9" fontId="25" fillId="0" borderId="0" xfId="44" applyNumberFormat="1" applyFont="1" applyAlignment="1">
      <alignment vertical="center"/>
    </xf>
    <xf numFmtId="0" fontId="25" fillId="0" borderId="89" xfId="44" applyFont="1" applyBorder="1" applyAlignment="1">
      <alignment vertical="center"/>
    </xf>
    <xf numFmtId="0" fontId="25" fillId="0" borderId="90" xfId="44" applyFont="1" applyBorder="1" applyAlignment="1">
      <alignment horizontal="left" vertical="top" wrapText="1"/>
    </xf>
    <xf numFmtId="0" fontId="31" fillId="0" borderId="91" xfId="0" applyFont="1" applyBorder="1" applyAlignment="1">
      <alignment vertical="center" wrapText="1"/>
    </xf>
    <xf numFmtId="14" fontId="25" fillId="0" borderId="92" xfId="44" applyNumberFormat="1" applyFont="1" applyBorder="1" applyAlignment="1">
      <alignment vertical="center"/>
    </xf>
    <xf numFmtId="14" fontId="25" fillId="0" borderId="0" xfId="44" applyNumberFormat="1" applyFont="1" applyAlignment="1">
      <alignment vertical="center"/>
    </xf>
    <xf numFmtId="0" fontId="25" fillId="0" borderId="0" xfId="44" applyFont="1" applyAlignment="1">
      <alignment horizontal="left" vertical="top" wrapText="1"/>
    </xf>
    <xf numFmtId="172" fontId="25" fillId="0" borderId="82" xfId="49" applyNumberFormat="1" applyFont="1" applyBorder="1" applyAlignment="1">
      <alignment vertical="center" wrapText="1"/>
    </xf>
    <xf numFmtId="0" fontId="25" fillId="0" borderId="92" xfId="44" applyFont="1" applyBorder="1" applyAlignment="1">
      <alignment vertical="center"/>
    </xf>
    <xf numFmtId="3" fontId="25" fillId="12" borderId="30" xfId="49" applyNumberFormat="1" applyFont="1" applyFill="1" applyBorder="1" applyAlignment="1">
      <alignment vertical="center" wrapText="1"/>
    </xf>
    <xf numFmtId="0" fontId="25" fillId="4" borderId="90" xfId="44" applyFont="1" applyFill="1" applyBorder="1" applyAlignment="1">
      <alignment vertical="center" wrapText="1"/>
    </xf>
    <xf numFmtId="3" fontId="25" fillId="0" borderId="82" xfId="44" applyNumberFormat="1" applyFont="1" applyBorder="1" applyAlignment="1">
      <alignment vertical="center" wrapText="1"/>
    </xf>
    <xf numFmtId="3" fontId="25" fillId="4" borderId="30" xfId="0" applyNumberFormat="1" applyFont="1" applyFill="1" applyBorder="1" applyAlignment="1">
      <alignment vertical="center" wrapText="1"/>
    </xf>
    <xf numFmtId="3" fontId="25" fillId="0" borderId="29" xfId="44" applyNumberFormat="1" applyFont="1" applyBorder="1" applyAlignment="1">
      <alignment vertical="center" wrapText="1"/>
    </xf>
    <xf numFmtId="3" fontId="25" fillId="0" borderId="33" xfId="44" applyNumberFormat="1" applyFont="1" applyBorder="1" applyAlignment="1">
      <alignment vertical="center" wrapText="1"/>
    </xf>
    <xf numFmtId="3" fontId="25" fillId="4" borderId="30" xfId="49" applyNumberFormat="1" applyFont="1" applyFill="1" applyBorder="1" applyAlignment="1">
      <alignment vertical="center" wrapText="1"/>
    </xf>
    <xf numFmtId="0" fontId="11" fillId="0" borderId="30" xfId="0" applyFont="1" applyBorder="1" applyAlignment="1">
      <alignment horizontal="left" vertical="center" wrapText="1"/>
    </xf>
    <xf numFmtId="3" fontId="11" fillId="0" borderId="30" xfId="0" applyNumberFormat="1" applyFont="1" applyBorder="1" applyAlignment="1">
      <alignment horizontal="center" vertical="center" wrapText="1"/>
    </xf>
    <xf numFmtId="9" fontId="11" fillId="0" borderId="30" xfId="79" applyFont="1" applyFill="1" applyBorder="1" applyAlignment="1">
      <alignment vertical="center" wrapText="1"/>
    </xf>
    <xf numFmtId="172" fontId="11" fillId="0" borderId="30" xfId="0" applyNumberFormat="1" applyFont="1" applyBorder="1" applyAlignment="1">
      <alignment vertical="center" wrapText="1"/>
    </xf>
    <xf numFmtId="3" fontId="25" fillId="0" borderId="4" xfId="44" applyNumberFormat="1" applyFont="1" applyBorder="1" applyAlignment="1">
      <alignment vertical="center" wrapText="1"/>
    </xf>
    <xf numFmtId="3" fontId="25" fillId="0" borderId="35" xfId="44" applyNumberFormat="1" applyFont="1" applyBorder="1" applyAlignment="1">
      <alignment vertical="center"/>
    </xf>
    <xf numFmtId="3" fontId="25" fillId="0" borderId="89" xfId="44" applyNumberFormat="1" applyFont="1" applyBorder="1" applyAlignment="1">
      <alignment vertical="center"/>
    </xf>
    <xf numFmtId="9" fontId="11" fillId="0" borderId="4" xfId="0" applyNumberFormat="1" applyFont="1" applyBorder="1" applyAlignment="1">
      <alignment vertical="center" wrapText="1"/>
    </xf>
    <xf numFmtId="14" fontId="11" fillId="0" borderId="4" xfId="0" applyNumberFormat="1" applyFont="1" applyBorder="1" applyAlignment="1">
      <alignment vertical="center" wrapText="1"/>
    </xf>
    <xf numFmtId="0" fontId="25" fillId="0" borderId="4" xfId="44" applyFont="1" applyBorder="1" applyAlignment="1">
      <alignment vertical="center" wrapText="1"/>
    </xf>
    <xf numFmtId="0" fontId="25" fillId="0" borderId="94" xfId="44" applyFont="1" applyBorder="1" applyAlignment="1">
      <alignment vertical="center"/>
    </xf>
    <xf numFmtId="0" fontId="2" fillId="0" borderId="5" xfId="44" applyFont="1" applyBorder="1" applyAlignment="1">
      <alignment vertical="center"/>
    </xf>
    <xf numFmtId="0" fontId="30" fillId="8" borderId="0" xfId="0" applyFont="1" applyFill="1"/>
    <xf numFmtId="0" fontId="31" fillId="8" borderId="0" xfId="0" applyFont="1" applyFill="1" applyAlignment="1">
      <alignment horizontal="center" vertical="center"/>
    </xf>
    <xf numFmtId="0" fontId="31" fillId="6" borderId="0" xfId="0" applyFont="1" applyFill="1" applyAlignment="1">
      <alignment horizontal="left" vertical="center"/>
    </xf>
    <xf numFmtId="0" fontId="31" fillId="10" borderId="0" xfId="0" applyFont="1" applyFill="1" applyAlignment="1">
      <alignment horizontal="left" vertical="center"/>
    </xf>
    <xf numFmtId="3" fontId="31" fillId="8" borderId="0" xfId="0" applyNumberFormat="1" applyFont="1" applyFill="1" applyAlignment="1">
      <alignment vertical="center"/>
    </xf>
    <xf numFmtId="0" fontId="68" fillId="8" borderId="0" xfId="0" applyFont="1" applyFill="1" applyAlignment="1">
      <alignment vertical="center"/>
    </xf>
    <xf numFmtId="0" fontId="31" fillId="8" borderId="0" xfId="0" applyFont="1" applyFill="1" applyAlignment="1">
      <alignment vertical="center" wrapText="1"/>
    </xf>
    <xf numFmtId="0" fontId="31" fillId="8" borderId="0" xfId="0" applyFont="1" applyFill="1"/>
    <xf numFmtId="0" fontId="56" fillId="4" borderId="0" xfId="0" applyFont="1" applyFill="1"/>
    <xf numFmtId="0" fontId="101" fillId="9" borderId="42" xfId="0" applyFont="1" applyFill="1" applyBorder="1" applyAlignment="1">
      <alignment horizontal="center" vertical="center" wrapText="1"/>
    </xf>
    <xf numFmtId="1" fontId="101" fillId="9" borderId="42" xfId="0" applyNumberFormat="1" applyFont="1" applyFill="1" applyBorder="1" applyAlignment="1">
      <alignment horizontal="center"/>
    </xf>
    <xf numFmtId="0" fontId="101" fillId="9" borderId="42" xfId="0" applyFont="1" applyFill="1" applyBorder="1" applyAlignment="1">
      <alignment horizontal="center"/>
    </xf>
    <xf numFmtId="0" fontId="102" fillId="9" borderId="42" xfId="0" applyFont="1" applyFill="1" applyBorder="1" applyAlignment="1">
      <alignment horizontal="left"/>
    </xf>
    <xf numFmtId="0" fontId="101" fillId="9" borderId="42" xfId="0" applyFont="1" applyFill="1" applyBorder="1"/>
    <xf numFmtId="0" fontId="101" fillId="9" borderId="42" xfId="0" applyFont="1" applyFill="1" applyBorder="1" applyAlignment="1">
      <alignment horizontal="center" vertical="center"/>
    </xf>
    <xf numFmtId="0" fontId="101" fillId="13" borderId="42" xfId="0" applyFont="1" applyFill="1" applyBorder="1"/>
    <xf numFmtId="0" fontId="101" fillId="9" borderId="30" xfId="0" applyFont="1" applyFill="1" applyBorder="1" applyAlignment="1">
      <alignment horizontal="center" vertical="center" wrapText="1"/>
    </xf>
    <xf numFmtId="1" fontId="101" fillId="9" borderId="30" xfId="0" applyNumberFormat="1" applyFont="1" applyFill="1" applyBorder="1" applyAlignment="1">
      <alignment horizontal="center" vertical="center"/>
    </xf>
    <xf numFmtId="1" fontId="101" fillId="9" borderId="30" xfId="0" applyNumberFormat="1" applyFont="1" applyFill="1" applyBorder="1" applyAlignment="1">
      <alignment horizontal="center" vertical="center" wrapText="1"/>
    </xf>
    <xf numFmtId="0" fontId="101" fillId="9" borderId="30" xfId="0" applyFont="1" applyFill="1" applyBorder="1" applyAlignment="1">
      <alignment horizontal="left" vertical="center" wrapText="1"/>
    </xf>
    <xf numFmtId="0" fontId="101" fillId="9" borderId="30" xfId="0" applyFont="1" applyFill="1" applyBorder="1" applyAlignment="1">
      <alignment vertical="center"/>
    </xf>
    <xf numFmtId="0" fontId="101" fillId="9" borderId="30" xfId="0" applyFont="1" applyFill="1" applyBorder="1" applyAlignment="1">
      <alignment horizontal="center" vertical="center"/>
    </xf>
    <xf numFmtId="177" fontId="101" fillId="9" borderId="30" xfId="0" applyNumberFormat="1" applyFont="1" applyFill="1" applyBorder="1" applyAlignment="1">
      <alignment horizontal="right" vertical="center" wrapText="1"/>
    </xf>
    <xf numFmtId="177" fontId="101" fillId="13" borderId="30" xfId="0" applyNumberFormat="1" applyFont="1" applyFill="1" applyBorder="1" applyAlignment="1">
      <alignment horizontal="right" vertical="center" wrapText="1"/>
    </xf>
    <xf numFmtId="0" fontId="101" fillId="9" borderId="30" xfId="0" applyFont="1" applyFill="1" applyBorder="1" applyAlignment="1">
      <alignment vertical="center" wrapText="1"/>
    </xf>
    <xf numFmtId="0" fontId="103" fillId="9" borderId="30" xfId="0" applyFont="1" applyFill="1" applyBorder="1" applyAlignment="1">
      <alignment horizontal="center" vertical="center" wrapText="1"/>
    </xf>
    <xf numFmtId="1" fontId="103" fillId="9" borderId="30" xfId="0" applyNumberFormat="1" applyFont="1" applyFill="1" applyBorder="1" applyAlignment="1">
      <alignment horizontal="center" vertical="center"/>
    </xf>
    <xf numFmtId="1" fontId="103" fillId="9" borderId="30" xfId="0" applyNumberFormat="1" applyFont="1" applyFill="1" applyBorder="1" applyAlignment="1">
      <alignment horizontal="center" vertical="center" wrapText="1"/>
    </xf>
    <xf numFmtId="0" fontId="103" fillId="9" borderId="30" xfId="0" applyFont="1" applyFill="1" applyBorder="1" applyAlignment="1">
      <alignment horizontal="left" vertical="center" wrapText="1"/>
    </xf>
    <xf numFmtId="0" fontId="103" fillId="9" borderId="30" xfId="0" applyFont="1" applyFill="1" applyBorder="1" applyAlignment="1">
      <alignment vertical="center"/>
    </xf>
    <xf numFmtId="0" fontId="103" fillId="9" borderId="30" xfId="0" applyFont="1" applyFill="1" applyBorder="1" applyAlignment="1">
      <alignment horizontal="center" vertical="center"/>
    </xf>
    <xf numFmtId="177" fontId="103" fillId="9" borderId="30" xfId="0" applyNumberFormat="1" applyFont="1" applyFill="1" applyBorder="1" applyAlignment="1">
      <alignment horizontal="right" vertical="center" wrapText="1"/>
    </xf>
    <xf numFmtId="177" fontId="103" fillId="13" borderId="30" xfId="0" applyNumberFormat="1" applyFont="1" applyFill="1" applyBorder="1" applyAlignment="1">
      <alignment horizontal="right" vertical="center" wrapText="1"/>
    </xf>
    <xf numFmtId="0" fontId="103" fillId="9" borderId="30" xfId="0" applyFont="1" applyFill="1" applyBorder="1" applyAlignment="1">
      <alignment vertical="center" wrapText="1"/>
    </xf>
    <xf numFmtId="0" fontId="89" fillId="9" borderId="30" xfId="0" applyFont="1" applyFill="1" applyBorder="1" applyAlignment="1">
      <alignment horizontal="center" vertical="center"/>
    </xf>
    <xf numFmtId="1" fontId="104" fillId="9" borderId="30" xfId="0" applyNumberFormat="1" applyFont="1" applyFill="1" applyBorder="1" applyAlignment="1">
      <alignment horizontal="center" vertical="center"/>
    </xf>
    <xf numFmtId="0" fontId="104" fillId="9" borderId="30" xfId="0" applyFont="1" applyFill="1" applyBorder="1" applyAlignment="1">
      <alignment horizontal="left" vertical="center" wrapText="1"/>
    </xf>
    <xf numFmtId="0" fontId="89" fillId="9" borderId="30" xfId="0" applyFont="1" applyFill="1" applyBorder="1" applyAlignment="1">
      <alignment horizontal="center" vertical="center" wrapText="1"/>
    </xf>
    <xf numFmtId="0" fontId="105" fillId="0" borderId="0" xfId="0" applyFont="1" applyAlignment="1">
      <alignment horizontal="center" vertical="center"/>
    </xf>
    <xf numFmtId="0" fontId="89" fillId="0" borderId="30" xfId="0" applyFont="1" applyBorder="1" applyAlignment="1">
      <alignment horizontal="left" vertical="center" wrapText="1"/>
    </xf>
    <xf numFmtId="0" fontId="89" fillId="0" borderId="30" xfId="0" applyFont="1" applyBorder="1" applyAlignment="1">
      <alignment horizontal="center" vertical="center" wrapText="1"/>
    </xf>
    <xf numFmtId="0" fontId="89" fillId="0" borderId="30" xfId="0" applyFont="1" applyBorder="1" applyAlignment="1">
      <alignment vertical="center" wrapText="1"/>
    </xf>
    <xf numFmtId="3" fontId="89" fillId="0" borderId="30" xfId="0" applyNumberFormat="1" applyFont="1" applyBorder="1" applyAlignment="1">
      <alignment vertical="center" wrapText="1"/>
    </xf>
    <xf numFmtId="0" fontId="89" fillId="9" borderId="30" xfId="0" applyFont="1" applyFill="1" applyBorder="1" applyAlignment="1">
      <alignment vertical="center" wrapText="1"/>
    </xf>
    <xf numFmtId="0" fontId="89" fillId="13" borderId="30" xfId="0" applyFont="1" applyFill="1" applyBorder="1" applyAlignment="1">
      <alignment horizontal="left" vertical="center" wrapText="1"/>
    </xf>
    <xf numFmtId="0" fontId="89" fillId="9" borderId="30" xfId="0" applyFont="1" applyFill="1" applyBorder="1" applyAlignment="1">
      <alignment vertical="center"/>
    </xf>
    <xf numFmtId="9" fontId="89" fillId="9" borderId="30" xfId="0" applyNumberFormat="1" applyFont="1" applyFill="1" applyBorder="1" applyAlignment="1">
      <alignment vertical="center"/>
    </xf>
    <xf numFmtId="3" fontId="89" fillId="9" borderId="30" xfId="0" applyNumberFormat="1" applyFont="1" applyFill="1" applyBorder="1" applyAlignment="1">
      <alignment vertical="center" wrapText="1"/>
    </xf>
    <xf numFmtId="172" fontId="89" fillId="9" borderId="30" xfId="0" applyNumberFormat="1" applyFont="1" applyFill="1" applyBorder="1" applyAlignment="1">
      <alignment vertical="center" wrapText="1"/>
    </xf>
    <xf numFmtId="3" fontId="89" fillId="9" borderId="30" xfId="0" applyNumberFormat="1" applyFont="1" applyFill="1" applyBorder="1" applyAlignment="1">
      <alignment vertical="center"/>
    </xf>
    <xf numFmtId="172" fontId="89" fillId="9" borderId="30" xfId="0" applyNumberFormat="1" applyFont="1" applyFill="1" applyBorder="1" applyAlignment="1">
      <alignment horizontal="right" vertical="center"/>
    </xf>
    <xf numFmtId="177" fontId="89" fillId="9" borderId="30" xfId="0" applyNumberFormat="1" applyFont="1" applyFill="1" applyBorder="1" applyAlignment="1">
      <alignment horizontal="center" vertical="center"/>
    </xf>
    <xf numFmtId="172" fontId="89" fillId="9" borderId="30" xfId="0" applyNumberFormat="1" applyFont="1" applyFill="1" applyBorder="1" applyAlignment="1">
      <alignment vertical="center"/>
    </xf>
    <xf numFmtId="3" fontId="89" fillId="9" borderId="30" xfId="0" applyNumberFormat="1" applyFont="1" applyFill="1" applyBorder="1" applyAlignment="1">
      <alignment horizontal="right" vertical="center"/>
    </xf>
    <xf numFmtId="177" fontId="89" fillId="0" borderId="30" xfId="0" applyNumberFormat="1" applyFont="1" applyBorder="1" applyAlignment="1">
      <alignment horizontal="center" vertical="center"/>
    </xf>
    <xf numFmtId="0" fontId="25" fillId="9" borderId="30" xfId="0" applyFont="1" applyFill="1" applyBorder="1" applyAlignment="1">
      <alignment vertical="center" wrapText="1"/>
    </xf>
    <xf numFmtId="0" fontId="104" fillId="9" borderId="30" xfId="0" applyFont="1" applyFill="1" applyBorder="1" applyAlignment="1">
      <alignment horizontal="center" vertical="center"/>
    </xf>
    <xf numFmtId="0" fontId="104" fillId="9" borderId="30" xfId="0" applyFont="1" applyFill="1" applyBorder="1" applyAlignment="1">
      <alignment vertical="center" wrapText="1"/>
    </xf>
    <xf numFmtId="0" fontId="89" fillId="13" borderId="30" xfId="0" applyFont="1" applyFill="1" applyBorder="1" applyAlignment="1">
      <alignment vertical="center"/>
    </xf>
    <xf numFmtId="9" fontId="89" fillId="9" borderId="30" xfId="0" applyNumberFormat="1" applyFont="1" applyFill="1" applyBorder="1" applyAlignment="1">
      <alignment horizontal="center" vertical="center"/>
    </xf>
    <xf numFmtId="0" fontId="89" fillId="9" borderId="30" xfId="0" applyFont="1" applyFill="1" applyBorder="1" applyAlignment="1">
      <alignment horizontal="left" vertical="center" wrapText="1"/>
    </xf>
    <xf numFmtId="0" fontId="102" fillId="9" borderId="30" xfId="0" applyFont="1" applyFill="1" applyBorder="1" applyAlignment="1">
      <alignment vertical="center"/>
    </xf>
    <xf numFmtId="9" fontId="101" fillId="9" borderId="30" xfId="0" applyNumberFormat="1" applyFont="1" applyFill="1" applyBorder="1" applyAlignment="1">
      <alignment vertical="center"/>
    </xf>
    <xf numFmtId="172" fontId="101" fillId="9" borderId="30" xfId="0" applyNumberFormat="1" applyFont="1" applyFill="1" applyBorder="1" applyAlignment="1">
      <alignment vertical="center" wrapText="1"/>
    </xf>
    <xf numFmtId="3" fontId="101" fillId="9" borderId="30" xfId="0" applyNumberFormat="1" applyFont="1" applyFill="1" applyBorder="1" applyAlignment="1">
      <alignment vertical="center"/>
    </xf>
    <xf numFmtId="0" fontId="101" fillId="13" borderId="30" xfId="0" applyFont="1" applyFill="1" applyBorder="1" applyAlignment="1">
      <alignment vertical="center"/>
    </xf>
    <xf numFmtId="3" fontId="101" fillId="9" borderId="30" xfId="0" applyNumberFormat="1" applyFont="1" applyFill="1" applyBorder="1" applyAlignment="1">
      <alignment vertical="center" wrapText="1"/>
    </xf>
    <xf numFmtId="9" fontId="101" fillId="9" borderId="30" xfId="0" applyNumberFormat="1" applyFont="1" applyFill="1" applyBorder="1" applyAlignment="1">
      <alignment horizontal="center" vertical="center"/>
    </xf>
    <xf numFmtId="177" fontId="101" fillId="9" borderId="30" xfId="0" applyNumberFormat="1" applyFont="1" applyFill="1" applyBorder="1" applyAlignment="1">
      <alignment horizontal="center" vertical="center"/>
    </xf>
    <xf numFmtId="9" fontId="103" fillId="9" borderId="30" xfId="0" applyNumberFormat="1" applyFont="1" applyFill="1" applyBorder="1" applyAlignment="1">
      <alignment vertical="center"/>
    </xf>
    <xf numFmtId="172" fontId="103" fillId="9" borderId="30" xfId="0" applyNumberFormat="1" applyFont="1" applyFill="1" applyBorder="1" applyAlignment="1">
      <alignment vertical="center" wrapText="1"/>
    </xf>
    <xf numFmtId="3" fontId="103" fillId="9" borderId="30" xfId="0" applyNumberFormat="1" applyFont="1" applyFill="1" applyBorder="1" applyAlignment="1">
      <alignment vertical="center"/>
    </xf>
    <xf numFmtId="3" fontId="103" fillId="13" borderId="30" xfId="0" applyNumberFormat="1" applyFont="1" applyFill="1" applyBorder="1" applyAlignment="1">
      <alignment vertical="center"/>
    </xf>
    <xf numFmtId="3" fontId="103" fillId="9" borderId="30" xfId="0" applyNumberFormat="1" applyFont="1" applyFill="1" applyBorder="1" applyAlignment="1">
      <alignment vertical="center" wrapText="1"/>
    </xf>
    <xf numFmtId="9" fontId="103" fillId="9" borderId="30" xfId="0" applyNumberFormat="1" applyFont="1" applyFill="1" applyBorder="1" applyAlignment="1">
      <alignment horizontal="center" vertical="center"/>
    </xf>
    <xf numFmtId="177" fontId="103" fillId="9" borderId="30" xfId="0" applyNumberFormat="1" applyFont="1" applyFill="1" applyBorder="1" applyAlignment="1">
      <alignment horizontal="center" vertical="center"/>
    </xf>
    <xf numFmtId="3" fontId="89" fillId="0" borderId="30" xfId="0" applyNumberFormat="1" applyFont="1" applyBorder="1" applyAlignment="1">
      <alignment horizontal="center" vertical="center" wrapText="1"/>
    </xf>
    <xf numFmtId="0" fontId="89" fillId="0" borderId="30" xfId="0" applyFont="1" applyBorder="1" applyAlignment="1">
      <alignment vertical="center"/>
    </xf>
    <xf numFmtId="172" fontId="89" fillId="0" borderId="30" xfId="0" applyNumberFormat="1" applyFont="1" applyBorder="1" applyAlignment="1">
      <alignment vertical="center" wrapText="1"/>
    </xf>
    <xf numFmtId="3" fontId="89" fillId="0" borderId="30" xfId="0" applyNumberFormat="1" applyFont="1" applyBorder="1" applyAlignment="1">
      <alignment vertical="center"/>
    </xf>
    <xf numFmtId="9" fontId="89" fillId="9" borderId="30" xfId="0" applyNumberFormat="1" applyFont="1" applyFill="1" applyBorder="1" applyAlignment="1">
      <alignment vertical="center" wrapText="1"/>
    </xf>
    <xf numFmtId="0" fontId="103" fillId="13" borderId="30" xfId="0" applyFont="1" applyFill="1" applyBorder="1" applyAlignment="1">
      <alignment vertical="center"/>
    </xf>
    <xf numFmtId="9" fontId="89" fillId="0" borderId="30" xfId="0" applyNumberFormat="1" applyFont="1" applyBorder="1" applyAlignment="1">
      <alignment horizontal="center" vertical="center" wrapText="1"/>
    </xf>
    <xf numFmtId="9" fontId="89" fillId="9" borderId="30" xfId="0" applyNumberFormat="1" applyFont="1" applyFill="1" applyBorder="1" applyAlignment="1">
      <alignment horizontal="center" vertical="center" wrapText="1"/>
    </xf>
    <xf numFmtId="172" fontId="103" fillId="13" borderId="30" xfId="0" applyNumberFormat="1" applyFont="1" applyFill="1" applyBorder="1" applyAlignment="1">
      <alignment vertical="center"/>
    </xf>
    <xf numFmtId="172" fontId="103" fillId="9" borderId="30" xfId="0" applyNumberFormat="1" applyFont="1" applyFill="1" applyBorder="1" applyAlignment="1">
      <alignment vertical="center"/>
    </xf>
    <xf numFmtId="9" fontId="89" fillId="0" borderId="30" xfId="0" applyNumberFormat="1" applyFont="1" applyBorder="1" applyAlignment="1">
      <alignment vertical="center"/>
    </xf>
    <xf numFmtId="9" fontId="89" fillId="0" borderId="30" xfId="0" applyNumberFormat="1" applyFont="1" applyBorder="1" applyAlignment="1">
      <alignment vertical="center" wrapText="1"/>
    </xf>
    <xf numFmtId="172" fontId="89" fillId="13" borderId="30" xfId="0" applyNumberFormat="1" applyFont="1" applyFill="1" applyBorder="1" applyAlignment="1">
      <alignment horizontal="center" vertical="center"/>
    </xf>
    <xf numFmtId="172" fontId="89" fillId="0" borderId="30" xfId="63" applyNumberFormat="1" applyFont="1" applyFill="1" applyBorder="1" applyAlignment="1">
      <alignment horizontal="center" vertical="center" wrapText="1"/>
    </xf>
    <xf numFmtId="172" fontId="89" fillId="9" borderId="30" xfId="0" applyNumberFormat="1" applyFont="1" applyFill="1" applyBorder="1" applyAlignment="1">
      <alignment horizontal="center" vertical="center"/>
    </xf>
    <xf numFmtId="10" fontId="89" fillId="9" borderId="30" xfId="0" applyNumberFormat="1" applyFont="1" applyFill="1" applyBorder="1" applyAlignment="1">
      <alignment vertical="center"/>
    </xf>
    <xf numFmtId="9" fontId="89" fillId="9" borderId="30" xfId="63" applyFont="1" applyFill="1" applyBorder="1" applyAlignment="1">
      <alignment horizontal="center" vertical="center" wrapText="1"/>
    </xf>
    <xf numFmtId="9" fontId="89" fillId="0" borderId="30" xfId="63" applyFont="1" applyFill="1" applyBorder="1" applyAlignment="1">
      <alignment horizontal="center" vertical="center" wrapText="1"/>
    </xf>
    <xf numFmtId="9" fontId="89" fillId="9" borderId="30" xfId="63" applyFont="1" applyFill="1" applyBorder="1" applyAlignment="1">
      <alignment horizontal="left" vertical="center" wrapText="1"/>
    </xf>
    <xf numFmtId="0" fontId="89" fillId="9" borderId="43" xfId="0" applyFont="1" applyFill="1" applyBorder="1" applyAlignment="1">
      <alignment horizontal="center" vertical="center" wrapText="1"/>
    </xf>
    <xf numFmtId="0" fontId="89" fillId="9" borderId="43" xfId="0" applyFont="1" applyFill="1" applyBorder="1" applyAlignment="1">
      <alignment horizontal="center" vertical="center"/>
    </xf>
    <xf numFmtId="1" fontId="104" fillId="9" borderId="43" xfId="0" applyNumberFormat="1" applyFont="1" applyFill="1" applyBorder="1" applyAlignment="1">
      <alignment horizontal="center" vertical="center"/>
    </xf>
    <xf numFmtId="0" fontId="89" fillId="9" borderId="43" xfId="0" applyFont="1" applyFill="1" applyBorder="1" applyAlignment="1">
      <alignment horizontal="left" vertical="center" wrapText="1"/>
    </xf>
    <xf numFmtId="0" fontId="89" fillId="9" borderId="43" xfId="0" applyFont="1" applyFill="1" applyBorder="1" applyAlignment="1">
      <alignment vertical="center" wrapText="1"/>
    </xf>
    <xf numFmtId="0" fontId="89" fillId="9" borderId="43" xfId="0" applyFont="1" applyFill="1" applyBorder="1" applyAlignment="1">
      <alignment vertical="center"/>
    </xf>
    <xf numFmtId="9" fontId="89" fillId="9" borderId="43" xfId="0" applyNumberFormat="1" applyFont="1" applyFill="1" applyBorder="1" applyAlignment="1">
      <alignment vertical="center" wrapText="1"/>
    </xf>
    <xf numFmtId="3" fontId="89" fillId="9" borderId="43" xfId="0" applyNumberFormat="1" applyFont="1" applyFill="1" applyBorder="1" applyAlignment="1">
      <alignment vertical="center"/>
    </xf>
    <xf numFmtId="172" fontId="89" fillId="9" borderId="43" xfId="0" applyNumberFormat="1" applyFont="1" applyFill="1" applyBorder="1" applyAlignment="1">
      <alignment horizontal="right" vertical="center"/>
    </xf>
    <xf numFmtId="177" fontId="89" fillId="0" borderId="43" xfId="0" applyNumberFormat="1" applyFont="1" applyBorder="1" applyAlignment="1">
      <alignment horizontal="center" vertical="center"/>
    </xf>
    <xf numFmtId="0" fontId="89" fillId="9" borderId="0" xfId="0" applyFont="1" applyFill="1" applyAlignment="1">
      <alignment horizontal="center" vertical="center"/>
    </xf>
    <xf numFmtId="1" fontId="89" fillId="9" borderId="0" xfId="0" applyNumberFormat="1" applyFont="1" applyFill="1" applyAlignment="1">
      <alignment vertical="center"/>
    </xf>
    <xf numFmtId="0" fontId="89" fillId="9" borderId="0" xfId="0" applyFont="1" applyFill="1" applyAlignment="1">
      <alignment horizontal="left" vertical="center"/>
    </xf>
    <xf numFmtId="0" fontId="89" fillId="9" borderId="0" xfId="0" applyFont="1" applyFill="1" applyAlignment="1">
      <alignment vertical="center"/>
    </xf>
    <xf numFmtId="0" fontId="89" fillId="13" borderId="0" xfId="0" applyFont="1" applyFill="1" applyAlignment="1">
      <alignment vertical="center"/>
    </xf>
    <xf numFmtId="0" fontId="89" fillId="9" borderId="0" xfId="0" applyFont="1" applyFill="1" applyAlignment="1">
      <alignment vertical="center" wrapText="1"/>
    </xf>
    <xf numFmtId="1" fontId="89" fillId="9" borderId="0" xfId="0" applyNumberFormat="1" applyFont="1" applyFill="1" applyAlignment="1">
      <alignment horizontal="center" vertical="center"/>
    </xf>
    <xf numFmtId="172" fontId="89" fillId="13" borderId="0" xfId="0" applyNumberFormat="1" applyFont="1" applyFill="1" applyAlignment="1">
      <alignment horizontal="center" vertical="center"/>
    </xf>
    <xf numFmtId="3" fontId="89" fillId="9" borderId="0" xfId="0" applyNumberFormat="1" applyFont="1" applyFill="1" applyAlignment="1">
      <alignment vertical="center"/>
    </xf>
    <xf numFmtId="172" fontId="89" fillId="9" borderId="0" xfId="0" applyNumberFormat="1" applyFont="1" applyFill="1" applyAlignment="1">
      <alignment vertical="center"/>
    </xf>
    <xf numFmtId="172" fontId="89" fillId="9" borderId="0" xfId="0" applyNumberFormat="1" applyFont="1" applyFill="1" applyAlignment="1">
      <alignment horizontal="right" vertical="center"/>
    </xf>
    <xf numFmtId="1" fontId="89" fillId="13" borderId="0" xfId="0" applyNumberFormat="1" applyFont="1" applyFill="1" applyAlignment="1">
      <alignment horizontal="center" vertical="center"/>
    </xf>
    <xf numFmtId="0" fontId="89" fillId="13" borderId="0" xfId="0" applyFont="1" applyFill="1" applyAlignment="1">
      <alignment horizontal="center" vertical="center"/>
    </xf>
    <xf numFmtId="43" fontId="89" fillId="9" borderId="0" xfId="86" applyFont="1" applyFill="1" applyAlignment="1">
      <alignment vertical="center"/>
    </xf>
    <xf numFmtId="3" fontId="31" fillId="0" borderId="10" xfId="0" applyNumberFormat="1" applyFont="1" applyBorder="1"/>
    <xf numFmtId="14" fontId="31" fillId="0" borderId="10" xfId="0" applyNumberFormat="1" applyFont="1" applyBorder="1" applyAlignment="1">
      <alignment horizontal="right" vertical="center"/>
    </xf>
    <xf numFmtId="10" fontId="31" fillId="0" borderId="10" xfId="0" applyNumberFormat="1" applyFont="1" applyBorder="1"/>
    <xf numFmtId="9" fontId="31" fillId="0" borderId="14" xfId="0" applyNumberFormat="1" applyFont="1" applyBorder="1" applyAlignment="1">
      <alignment vertical="center" wrapText="1"/>
    </xf>
    <xf numFmtId="10" fontId="31" fillId="0" borderId="14" xfId="0" applyNumberFormat="1" applyFont="1" applyBorder="1" applyAlignment="1">
      <alignment vertical="center"/>
    </xf>
    <xf numFmtId="14" fontId="31" fillId="0" borderId="14" xfId="0" applyNumberFormat="1" applyFont="1" applyBorder="1" applyAlignment="1">
      <alignment vertical="center"/>
    </xf>
    <xf numFmtId="9" fontId="39" fillId="0" borderId="10" xfId="0" applyNumberFormat="1" applyFont="1" applyBorder="1" applyAlignment="1">
      <alignment vertical="center"/>
    </xf>
    <xf numFmtId="14" fontId="31" fillId="0" borderId="45" xfId="0" applyNumberFormat="1" applyFont="1" applyBorder="1" applyAlignment="1">
      <alignment horizontal="center" vertical="center"/>
    </xf>
    <xf numFmtId="194" fontId="36" fillId="0" borderId="45" xfId="0" applyNumberFormat="1" applyFont="1" applyBorder="1" applyAlignment="1">
      <alignment horizontal="center" vertical="center" wrapText="1"/>
    </xf>
    <xf numFmtId="194" fontId="31" fillId="0" borderId="45" xfId="0" applyNumberFormat="1" applyFont="1" applyBorder="1" applyAlignment="1">
      <alignment horizontal="center" vertical="center" wrapText="1"/>
    </xf>
    <xf numFmtId="0" fontId="31" fillId="0" borderId="45" xfId="0" applyFont="1" applyBorder="1" applyAlignment="1">
      <alignment horizontal="left" vertical="center"/>
    </xf>
    <xf numFmtId="3" fontId="31" fillId="0" borderId="45" xfId="0" applyNumberFormat="1" applyFont="1" applyBorder="1" applyAlignment="1">
      <alignment vertical="center" wrapText="1"/>
    </xf>
    <xf numFmtId="0" fontId="39" fillId="0" borderId="45" xfId="0" applyFont="1" applyBorder="1" applyAlignment="1">
      <alignment horizontal="left" vertical="center" wrapText="1"/>
    </xf>
    <xf numFmtId="0" fontId="31" fillId="0" borderId="45" xfId="0" applyFont="1" applyBorder="1" applyAlignment="1">
      <alignment horizontal="left" vertical="center" wrapText="1"/>
    </xf>
    <xf numFmtId="0" fontId="31" fillId="0" borderId="32" xfId="43" applyFont="1" applyBorder="1" applyAlignment="1">
      <alignment vertical="center" wrapText="1"/>
    </xf>
    <xf numFmtId="3" fontId="31" fillId="0" borderId="96" xfId="90" applyNumberFormat="1" applyFont="1" applyFill="1" applyBorder="1" applyAlignment="1">
      <alignment vertical="center"/>
    </xf>
    <xf numFmtId="9" fontId="2" fillId="0" borderId="0" xfId="65" applyFont="1" applyFill="1" applyAlignment="1">
      <alignment horizontal="center" vertical="center"/>
    </xf>
    <xf numFmtId="0" fontId="30" fillId="0" borderId="13" xfId="0" applyFont="1" applyBorder="1" applyAlignment="1">
      <alignment vertical="center"/>
    </xf>
    <xf numFmtId="0" fontId="87" fillId="0" borderId="13" xfId="0" applyFont="1" applyBorder="1" applyAlignment="1">
      <alignment horizontal="center" vertical="center" wrapText="1"/>
    </xf>
    <xf numFmtId="0" fontId="88" fillId="0" borderId="13" xfId="0" applyFont="1" applyBorder="1" applyAlignment="1">
      <alignment vertical="center" wrapText="1"/>
    </xf>
    <xf numFmtId="9" fontId="30" fillId="0" borderId="13" xfId="0" applyNumberFormat="1" applyFont="1" applyBorder="1" applyAlignment="1">
      <alignment horizontal="right" vertical="center"/>
    </xf>
    <xf numFmtId="3" fontId="30" fillId="0" borderId="13" xfId="0" applyNumberFormat="1" applyFont="1" applyBorder="1" applyAlignment="1">
      <alignment vertical="center"/>
    </xf>
    <xf numFmtId="9" fontId="30" fillId="0" borderId="13" xfId="0" applyNumberFormat="1" applyFont="1" applyBorder="1" applyAlignment="1">
      <alignment vertical="center"/>
    </xf>
    <xf numFmtId="9" fontId="31" fillId="0" borderId="13" xfId="0" applyNumberFormat="1" applyFont="1" applyBorder="1" applyAlignment="1">
      <alignment vertical="center"/>
    </xf>
    <xf numFmtId="9" fontId="30" fillId="0" borderId="10" xfId="0" applyNumberFormat="1" applyFont="1" applyBorder="1" applyAlignment="1">
      <alignment vertical="center"/>
    </xf>
    <xf numFmtId="177" fontId="30" fillId="0" borderId="10" xfId="0" applyNumberFormat="1" applyFont="1" applyBorder="1" applyAlignment="1">
      <alignment vertical="center"/>
    </xf>
    <xf numFmtId="0" fontId="39" fillId="0" borderId="10" xfId="0" quotePrefix="1" applyFont="1" applyBorder="1" applyAlignment="1">
      <alignment horizontal="center" vertical="center" wrapText="1"/>
    </xf>
    <xf numFmtId="0" fontId="56" fillId="0" borderId="0" xfId="0" applyFont="1" applyAlignment="1">
      <alignment vertical="center"/>
    </xf>
    <xf numFmtId="177" fontId="39" fillId="0" borderId="10" xfId="0" applyNumberFormat="1" applyFont="1" applyBorder="1" applyAlignment="1">
      <alignment vertical="center"/>
    </xf>
    <xf numFmtId="3" fontId="31" fillId="8" borderId="10" xfId="0" applyNumberFormat="1" applyFont="1" applyFill="1" applyBorder="1" applyAlignment="1">
      <alignment vertical="center" wrapText="1"/>
    </xf>
    <xf numFmtId="9" fontId="31" fillId="8" borderId="10" xfId="0" applyNumberFormat="1" applyFont="1" applyFill="1" applyBorder="1" applyAlignment="1">
      <alignment vertical="center" wrapText="1"/>
    </xf>
    <xf numFmtId="177" fontId="31" fillId="8" borderId="14" xfId="0" applyNumberFormat="1" applyFont="1" applyFill="1" applyBorder="1" applyAlignment="1">
      <alignment vertical="center"/>
    </xf>
    <xf numFmtId="177" fontId="31" fillId="0" borderId="14" xfId="0" applyNumberFormat="1" applyFont="1" applyBorder="1" applyAlignment="1">
      <alignment vertical="center"/>
    </xf>
    <xf numFmtId="0" fontId="31" fillId="0" borderId="19" xfId="0" applyFont="1" applyBorder="1" applyAlignment="1">
      <alignment horizontal="right" vertical="center" wrapText="1"/>
    </xf>
    <xf numFmtId="3" fontId="31" fillId="0" borderId="19" xfId="0" applyNumberFormat="1" applyFont="1" applyBorder="1" applyAlignment="1">
      <alignment vertical="center" wrapText="1"/>
    </xf>
    <xf numFmtId="9" fontId="31" fillId="8" borderId="19" xfId="0" applyNumberFormat="1" applyFont="1" applyFill="1" applyBorder="1" applyAlignment="1">
      <alignment vertical="center" wrapText="1"/>
    </xf>
    <xf numFmtId="172" fontId="31" fillId="0" borderId="19" xfId="0" applyNumberFormat="1" applyFont="1" applyBorder="1" applyAlignment="1">
      <alignment horizontal="right" vertical="center" wrapText="1"/>
    </xf>
    <xf numFmtId="3" fontId="31" fillId="8" borderId="19" xfId="0" applyNumberFormat="1" applyFont="1" applyFill="1" applyBorder="1" applyAlignment="1">
      <alignment vertical="center"/>
    </xf>
    <xf numFmtId="177" fontId="31" fillId="8" borderId="19" xfId="0" applyNumberFormat="1" applyFont="1" applyFill="1" applyBorder="1" applyAlignment="1">
      <alignment vertical="center"/>
    </xf>
    <xf numFmtId="177" fontId="31" fillId="0" borderId="19" xfId="0" applyNumberFormat="1" applyFont="1" applyBorder="1" applyAlignment="1">
      <alignment vertical="center"/>
    </xf>
    <xf numFmtId="0" fontId="31" fillId="0" borderId="37" xfId="0" applyFont="1" applyBorder="1" applyAlignment="1">
      <alignment vertical="center" wrapText="1"/>
    </xf>
    <xf numFmtId="3" fontId="30" fillId="0" borderId="0" xfId="0" applyNumberFormat="1" applyFont="1" applyAlignment="1">
      <alignment horizontal="left" vertical="center"/>
    </xf>
    <xf numFmtId="9" fontId="39" fillId="0" borderId="0" xfId="0" applyNumberFormat="1" applyFont="1" applyAlignment="1">
      <alignment horizontal="center" vertical="center"/>
    </xf>
    <xf numFmtId="10" fontId="39" fillId="0" borderId="0" xfId="0" applyNumberFormat="1" applyFont="1" applyAlignment="1">
      <alignment vertical="center"/>
    </xf>
    <xf numFmtId="9" fontId="39" fillId="0" borderId="0" xfId="0" applyNumberFormat="1" applyFont="1" applyAlignment="1">
      <alignment horizontal="right" vertical="center"/>
    </xf>
    <xf numFmtId="172" fontId="31" fillId="0" borderId="0" xfId="63" applyNumberFormat="1" applyFont="1" applyAlignment="1">
      <alignment vertical="center"/>
    </xf>
    <xf numFmtId="172" fontId="31" fillId="0" borderId="0" xfId="63" applyNumberFormat="1" applyFont="1"/>
    <xf numFmtId="0" fontId="59" fillId="6" borderId="10" xfId="0" applyFont="1" applyFill="1" applyBorder="1" applyAlignment="1">
      <alignment horizontal="center" vertical="center"/>
    </xf>
    <xf numFmtId="1" fontId="63" fillId="6" borderId="10" xfId="0" applyNumberFormat="1" applyFont="1" applyFill="1" applyBorder="1" applyAlignment="1">
      <alignment horizontal="center"/>
    </xf>
    <xf numFmtId="0" fontId="63" fillId="6" borderId="10" xfId="0" applyFont="1" applyFill="1" applyBorder="1" applyAlignment="1">
      <alignment horizontal="left" vertical="center" wrapText="1"/>
    </xf>
    <xf numFmtId="0" fontId="61" fillId="6" borderId="10" xfId="0" applyFont="1" applyFill="1" applyBorder="1"/>
    <xf numFmtId="9" fontId="61" fillId="6" borderId="10" xfId="0" applyNumberFormat="1" applyFont="1" applyFill="1" applyBorder="1"/>
    <xf numFmtId="3" fontId="63" fillId="6" borderId="10" xfId="0" applyNumberFormat="1" applyFont="1" applyFill="1" applyBorder="1" applyAlignment="1">
      <alignment vertical="center" wrapText="1"/>
    </xf>
    <xf numFmtId="172" fontId="63" fillId="6" borderId="10" xfId="0" applyNumberFormat="1" applyFont="1" applyFill="1" applyBorder="1" applyAlignment="1">
      <alignment horizontal="center" vertical="center" wrapText="1"/>
    </xf>
    <xf numFmtId="3" fontId="63" fillId="6" borderId="10" xfId="0" applyNumberFormat="1" applyFont="1" applyFill="1" applyBorder="1" applyAlignment="1">
      <alignment vertical="center"/>
    </xf>
    <xf numFmtId="10" fontId="63" fillId="6" borderId="10" xfId="0" applyNumberFormat="1" applyFont="1" applyFill="1" applyBorder="1" applyAlignment="1">
      <alignment vertical="center"/>
    </xf>
    <xf numFmtId="0" fontId="63" fillId="6" borderId="10" xfId="0" applyFont="1" applyFill="1" applyBorder="1" applyAlignment="1">
      <alignment horizontal="center" vertical="center"/>
    </xf>
    <xf numFmtId="0" fontId="63" fillId="6" borderId="10" xfId="0" applyFont="1" applyFill="1" applyBorder="1" applyAlignment="1">
      <alignment vertical="center"/>
    </xf>
    <xf numFmtId="0" fontId="63" fillId="6" borderId="10" xfId="0" applyFont="1" applyFill="1" applyBorder="1" applyAlignment="1">
      <alignment horizontal="left" vertical="center"/>
    </xf>
    <xf numFmtId="0" fontId="63" fillId="6" borderId="44" xfId="0" applyFont="1" applyFill="1" applyBorder="1" applyAlignment="1">
      <alignment horizontal="center" vertical="center"/>
    </xf>
    <xf numFmtId="10" fontId="63" fillId="6" borderId="10" xfId="0" applyNumberFormat="1" applyFont="1" applyFill="1" applyBorder="1" applyAlignment="1">
      <alignment horizontal="center" vertical="center" wrapText="1"/>
    </xf>
    <xf numFmtId="0" fontId="63" fillId="6" borderId="34" xfId="0" applyFont="1" applyFill="1" applyBorder="1" applyAlignment="1">
      <alignment horizontal="center" vertical="center"/>
    </xf>
    <xf numFmtId="1" fontId="62" fillId="6" borderId="10" xfId="0" applyNumberFormat="1" applyFont="1" applyFill="1" applyBorder="1" applyAlignment="1">
      <alignment horizontal="center"/>
    </xf>
    <xf numFmtId="0" fontId="62" fillId="6" borderId="10" xfId="0" applyFont="1" applyFill="1" applyBorder="1" applyAlignment="1">
      <alignment horizontal="left" vertical="center" wrapText="1"/>
    </xf>
    <xf numFmtId="3" fontId="62" fillId="6" borderId="10" xfId="0" applyNumberFormat="1" applyFont="1" applyFill="1" applyBorder="1" applyAlignment="1">
      <alignment vertical="center" wrapText="1"/>
    </xf>
    <xf numFmtId="172" fontId="62" fillId="6" borderId="10" xfId="0" applyNumberFormat="1" applyFont="1" applyFill="1" applyBorder="1" applyAlignment="1">
      <alignment horizontal="center" vertical="center" wrapText="1"/>
    </xf>
    <xf numFmtId="10" fontId="62" fillId="6" borderId="10" xfId="0" applyNumberFormat="1" applyFont="1" applyFill="1" applyBorder="1" applyAlignment="1">
      <alignment horizontal="center" vertical="center" wrapText="1"/>
    </xf>
    <xf numFmtId="3" fontId="62" fillId="6" borderId="10" xfId="0" applyNumberFormat="1" applyFont="1" applyFill="1" applyBorder="1" applyAlignment="1">
      <alignment vertical="center"/>
    </xf>
    <xf numFmtId="10" fontId="62" fillId="6" borderId="10" xfId="0" applyNumberFormat="1" applyFont="1" applyFill="1" applyBorder="1" applyAlignment="1">
      <alignment vertical="center"/>
    </xf>
    <xf numFmtId="0" fontId="62" fillId="6" borderId="10" xfId="0" applyFont="1" applyFill="1" applyBorder="1" applyAlignment="1">
      <alignment horizontal="center" vertical="center"/>
    </xf>
    <xf numFmtId="0" fontId="62" fillId="6" borderId="10" xfId="0" applyFont="1" applyFill="1" applyBorder="1" applyAlignment="1">
      <alignment vertical="center"/>
    </xf>
    <xf numFmtId="0" fontId="62" fillId="6" borderId="10" xfId="0" applyFont="1" applyFill="1" applyBorder="1" applyAlignment="1">
      <alignment horizontal="left" vertical="center"/>
    </xf>
    <xf numFmtId="0" fontId="62" fillId="6" borderId="34" xfId="0" applyFont="1" applyFill="1" applyBorder="1" applyAlignment="1">
      <alignment horizontal="center" vertical="center"/>
    </xf>
    <xf numFmtId="1" fontId="62" fillId="6" borderId="10" xfId="0" applyNumberFormat="1" applyFont="1" applyFill="1" applyBorder="1" applyAlignment="1">
      <alignment horizontal="center" wrapText="1"/>
    </xf>
    <xf numFmtId="0" fontId="62" fillId="6" borderId="10" xfId="0" applyFont="1" applyFill="1" applyBorder="1" applyAlignment="1">
      <alignment horizontal="center" wrapText="1"/>
    </xf>
    <xf numFmtId="10" fontId="60" fillId="0" borderId="10" xfId="0" applyNumberFormat="1" applyFont="1" applyBorder="1" applyAlignment="1">
      <alignment horizontal="center" vertical="center" wrapText="1"/>
    </xf>
    <xf numFmtId="1" fontId="61" fillId="6" borderId="10" xfId="0" applyNumberFormat="1" applyFont="1" applyFill="1" applyBorder="1"/>
    <xf numFmtId="0" fontId="59" fillId="6" borderId="10" xfId="0" applyFont="1" applyFill="1" applyBorder="1" applyAlignment="1">
      <alignment horizontal="center" wrapText="1"/>
    </xf>
    <xf numFmtId="0" fontId="86" fillId="6" borderId="10" xfId="0" applyFont="1" applyFill="1" applyBorder="1"/>
    <xf numFmtId="0" fontId="59" fillId="6" borderId="10" xfId="0" applyFont="1" applyFill="1" applyBorder="1"/>
    <xf numFmtId="3" fontId="59" fillId="6" borderId="10" xfId="0" applyNumberFormat="1" applyFont="1" applyFill="1" applyBorder="1" applyAlignment="1">
      <alignment horizontal="right"/>
    </xf>
    <xf numFmtId="9" fontId="59" fillId="6" borderId="10" xfId="0" applyNumberFormat="1" applyFont="1" applyFill="1" applyBorder="1" applyAlignment="1">
      <alignment horizontal="right"/>
    </xf>
    <xf numFmtId="172" fontId="59" fillId="0" borderId="10" xfId="0" applyNumberFormat="1" applyFont="1" applyBorder="1" applyAlignment="1">
      <alignment horizontal="right"/>
    </xf>
    <xf numFmtId="3" fontId="59" fillId="0" borderId="10" xfId="0" applyNumberFormat="1" applyFont="1" applyBorder="1" applyAlignment="1">
      <alignment horizontal="right" wrapText="1"/>
    </xf>
    <xf numFmtId="172" fontId="59" fillId="0" borderId="34" xfId="0" applyNumberFormat="1" applyFont="1" applyBorder="1" applyAlignment="1">
      <alignment horizontal="right"/>
    </xf>
    <xf numFmtId="1" fontId="61" fillId="6" borderId="10" xfId="0" applyNumberFormat="1" applyFont="1" applyFill="1" applyBorder="1" applyAlignment="1">
      <alignment vertical="center"/>
    </xf>
    <xf numFmtId="0" fontId="86" fillId="6" borderId="10" xfId="0" applyFont="1" applyFill="1" applyBorder="1" applyAlignment="1">
      <alignment vertical="center"/>
    </xf>
    <xf numFmtId="0" fontId="59" fillId="6" borderId="10" xfId="0" applyFont="1" applyFill="1" applyBorder="1" applyAlignment="1">
      <alignment vertical="center" wrapText="1"/>
    </xf>
    <xf numFmtId="3" fontId="59" fillId="6" borderId="10" xfId="0" applyNumberFormat="1" applyFont="1" applyFill="1" applyBorder="1" applyAlignment="1">
      <alignment horizontal="right" vertical="center"/>
    </xf>
    <xf numFmtId="9" fontId="59" fillId="6" borderId="10" xfId="0" applyNumberFormat="1" applyFont="1" applyFill="1" applyBorder="1" applyAlignment="1">
      <alignment horizontal="right" vertical="center"/>
    </xf>
    <xf numFmtId="172" fontId="59" fillId="0" borderId="10" xfId="0" applyNumberFormat="1" applyFont="1" applyBorder="1" applyAlignment="1">
      <alignment horizontal="right" wrapText="1"/>
    </xf>
    <xf numFmtId="172" fontId="59" fillId="0" borderId="13" xfId="0" applyNumberFormat="1" applyFont="1" applyBorder="1" applyAlignment="1">
      <alignment horizontal="right"/>
    </xf>
    <xf numFmtId="172" fontId="59" fillId="0" borderId="48" xfId="0" applyNumberFormat="1" applyFont="1" applyBorder="1" applyAlignment="1">
      <alignment horizontal="right"/>
    </xf>
    <xf numFmtId="177" fontId="59" fillId="8" borderId="10" xfId="0" applyNumberFormat="1" applyFont="1" applyFill="1" applyBorder="1" applyAlignment="1">
      <alignment horizontal="center" vertical="center"/>
    </xf>
    <xf numFmtId="1" fontId="63" fillId="6" borderId="10" xfId="0" applyNumberFormat="1" applyFont="1" applyFill="1" applyBorder="1" applyAlignment="1">
      <alignment horizontal="center" wrapText="1"/>
    </xf>
    <xf numFmtId="9" fontId="86" fillId="6" borderId="10" xfId="0" applyNumberFormat="1" applyFont="1" applyFill="1" applyBorder="1"/>
    <xf numFmtId="3" fontId="59" fillId="0" borderId="10" xfId="0" applyNumberFormat="1" applyFont="1" applyBorder="1" applyAlignment="1">
      <alignment horizontal="right"/>
    </xf>
    <xf numFmtId="0" fontId="63" fillId="0" borderId="34" xfId="0" applyFont="1" applyBorder="1" applyAlignment="1">
      <alignment horizontal="center" vertical="center" wrapText="1"/>
    </xf>
    <xf numFmtId="0" fontId="62" fillId="0" borderId="34" xfId="0" applyFont="1" applyBorder="1" applyAlignment="1">
      <alignment horizontal="center" vertical="center" wrapText="1"/>
    </xf>
    <xf numFmtId="0" fontId="62" fillId="6" borderId="10" xfId="0" applyFont="1" applyFill="1" applyBorder="1" applyAlignment="1">
      <alignment horizontal="center"/>
    </xf>
    <xf numFmtId="3" fontId="86" fillId="6" borderId="10" xfId="0" applyNumberFormat="1" applyFont="1" applyFill="1" applyBorder="1"/>
    <xf numFmtId="0" fontId="59" fillId="6" borderId="10" xfId="0" applyFont="1" applyFill="1" applyBorder="1" applyAlignment="1">
      <alignment horizontal="right"/>
    </xf>
    <xf numFmtId="0" fontId="59" fillId="6" borderId="10" xfId="0" applyFont="1" applyFill="1" applyBorder="1" applyAlignment="1">
      <alignment wrapText="1"/>
    </xf>
    <xf numFmtId="0" fontId="59" fillId="6" borderId="10" xfId="0" applyFont="1" applyFill="1" applyBorder="1" applyAlignment="1">
      <alignment horizontal="center"/>
    </xf>
    <xf numFmtId="172" fontId="59" fillId="6" borderId="10" xfId="0" applyNumberFormat="1" applyFont="1" applyFill="1" applyBorder="1" applyAlignment="1">
      <alignment horizontal="right"/>
    </xf>
    <xf numFmtId="177" fontId="59" fillId="6" borderId="10" xfId="0" applyNumberFormat="1" applyFont="1" applyFill="1" applyBorder="1" applyAlignment="1">
      <alignment horizontal="center" vertical="center"/>
    </xf>
    <xf numFmtId="0" fontId="59" fillId="6" borderId="10" xfId="0" applyFont="1" applyFill="1" applyBorder="1" applyAlignment="1">
      <alignment horizontal="left" vertical="center"/>
    </xf>
    <xf numFmtId="0" fontId="61" fillId="6" borderId="13" xfId="0" applyFont="1" applyFill="1" applyBorder="1"/>
    <xf numFmtId="0" fontId="61" fillId="0" borderId="10" xfId="0" applyFont="1" applyBorder="1"/>
    <xf numFmtId="172" fontId="61" fillId="0" borderId="10" xfId="0" applyNumberFormat="1" applyFont="1" applyBorder="1"/>
    <xf numFmtId="3" fontId="61" fillId="6" borderId="10" xfId="0" applyNumberFormat="1" applyFont="1" applyFill="1" applyBorder="1"/>
    <xf numFmtId="9" fontId="59" fillId="6" borderId="10" xfId="0" applyNumberFormat="1" applyFont="1" applyFill="1" applyBorder="1"/>
    <xf numFmtId="0" fontId="59" fillId="0" borderId="10" xfId="0" applyFont="1" applyBorder="1" applyAlignment="1">
      <alignment wrapText="1"/>
    </xf>
    <xf numFmtId="0" fontId="59" fillId="6" borderId="10" xfId="0" applyFont="1" applyFill="1" applyBorder="1" applyAlignment="1">
      <alignment horizontal="left" vertical="center" wrapText="1"/>
    </xf>
    <xf numFmtId="3" fontId="59" fillId="0" borderId="10" xfId="0" applyNumberFormat="1" applyFont="1" applyBorder="1" applyAlignment="1">
      <alignment horizontal="center" wrapText="1"/>
    </xf>
    <xf numFmtId="9" fontId="62" fillId="6" borderId="10" xfId="0" applyNumberFormat="1" applyFont="1" applyFill="1" applyBorder="1" applyAlignment="1">
      <alignment horizontal="center"/>
    </xf>
    <xf numFmtId="1" fontId="86" fillId="6" borderId="10" xfId="0" applyNumberFormat="1" applyFont="1" applyFill="1" applyBorder="1"/>
    <xf numFmtId="0" fontId="63" fillId="6" borderId="10" xfId="0" applyFont="1" applyFill="1" applyBorder="1" applyAlignment="1">
      <alignment horizontal="center"/>
    </xf>
    <xf numFmtId="3" fontId="62" fillId="6" borderId="10" xfId="0" applyNumberFormat="1" applyFont="1" applyFill="1" applyBorder="1" applyAlignment="1">
      <alignment horizontal="center"/>
    </xf>
    <xf numFmtId="0" fontId="59" fillId="6" borderId="10" xfId="0" applyFont="1" applyFill="1" applyBorder="1" applyAlignment="1">
      <alignment horizontal="right" vertical="center"/>
    </xf>
    <xf numFmtId="172" fontId="59" fillId="0" borderId="15" xfId="0" applyNumberFormat="1" applyFont="1" applyBorder="1" applyAlignment="1">
      <alignment horizontal="center" vertical="center"/>
    </xf>
    <xf numFmtId="0" fontId="126" fillId="6" borderId="10" xfId="0" applyFont="1" applyFill="1" applyBorder="1" applyAlignment="1">
      <alignment horizontal="center"/>
    </xf>
    <xf numFmtId="0" fontId="126" fillId="6" borderId="10" xfId="0" applyFont="1" applyFill="1" applyBorder="1" applyAlignment="1">
      <alignment wrapText="1"/>
    </xf>
    <xf numFmtId="0" fontId="126" fillId="6" borderId="10" xfId="0" applyFont="1" applyFill="1" applyBorder="1"/>
    <xf numFmtId="0" fontId="75" fillId="6" borderId="10" xfId="0" applyFont="1" applyFill="1" applyBorder="1" applyAlignment="1">
      <alignment horizontal="left" wrapText="1"/>
    </xf>
    <xf numFmtId="0" fontId="59" fillId="0" borderId="10" xfId="0" applyFont="1" applyBorder="1" applyAlignment="1">
      <alignment horizontal="center"/>
    </xf>
    <xf numFmtId="0" fontId="75" fillId="6" borderId="10" xfId="0" applyFont="1" applyFill="1" applyBorder="1" applyAlignment="1">
      <alignment horizontal="left" vertical="center" wrapText="1"/>
    </xf>
    <xf numFmtId="0" fontId="59" fillId="0" borderId="10" xfId="0" applyFont="1" applyBorder="1" applyAlignment="1">
      <alignment horizontal="center" vertical="top"/>
    </xf>
    <xf numFmtId="0" fontId="75" fillId="0" borderId="10" xfId="0" applyFont="1" applyBorder="1" applyAlignment="1">
      <alignment wrapText="1"/>
    </xf>
    <xf numFmtId="0" fontId="75" fillId="6" borderId="10" xfId="0" applyFont="1" applyFill="1" applyBorder="1" applyAlignment="1">
      <alignment wrapText="1"/>
    </xf>
    <xf numFmtId="0" fontId="86" fillId="0" borderId="10" xfId="0" applyFont="1" applyBorder="1" applyAlignment="1">
      <alignment vertical="top"/>
    </xf>
    <xf numFmtId="0" fontId="79" fillId="6" borderId="10" xfId="0" applyFont="1" applyFill="1" applyBorder="1"/>
    <xf numFmtId="172" fontId="59" fillId="0" borderId="13" xfId="0" applyNumberFormat="1" applyFont="1" applyBorder="1" applyAlignment="1">
      <alignment horizontal="center" vertical="center"/>
    </xf>
    <xf numFmtId="0" fontId="60" fillId="6" borderId="10" xfId="0" applyFont="1" applyFill="1" applyBorder="1" applyAlignment="1">
      <alignment horizontal="center"/>
    </xf>
    <xf numFmtId="0" fontId="60" fillId="6" borderId="10" xfId="0" applyFont="1" applyFill="1" applyBorder="1" applyAlignment="1">
      <alignment horizontal="left" vertical="center" wrapText="1"/>
    </xf>
    <xf numFmtId="0" fontId="60" fillId="6" borderId="10" xfId="0" applyFont="1" applyFill="1" applyBorder="1"/>
    <xf numFmtId="3" fontId="60" fillId="6" borderId="10" xfId="0" applyNumberFormat="1" applyFont="1" applyFill="1" applyBorder="1" applyAlignment="1">
      <alignment horizontal="center" wrapText="1"/>
    </xf>
    <xf numFmtId="0" fontId="75" fillId="0" borderId="10" xfId="0" applyFont="1" applyBorder="1" applyAlignment="1">
      <alignment vertical="center" wrapText="1"/>
    </xf>
    <xf numFmtId="0" fontId="75" fillId="6" borderId="10" xfId="0" applyFont="1" applyFill="1" applyBorder="1" applyAlignment="1">
      <alignment vertical="center" wrapText="1"/>
    </xf>
    <xf numFmtId="0" fontId="59" fillId="6" borderId="13" xfId="0" applyFont="1" applyFill="1" applyBorder="1" applyAlignment="1">
      <alignment wrapText="1"/>
    </xf>
    <xf numFmtId="0" fontId="59" fillId="0" borderId="14" xfId="0" applyFont="1" applyBorder="1" applyAlignment="1">
      <alignment horizontal="left" vertical="center" wrapText="1"/>
    </xf>
    <xf numFmtId="3" fontId="59" fillId="0" borderId="10" xfId="0" applyNumberFormat="1" applyFont="1" applyBorder="1" applyAlignment="1">
      <alignment horizontal="center"/>
    </xf>
    <xf numFmtId="3" fontId="86" fillId="0" borderId="10" xfId="0" applyNumberFormat="1" applyFont="1" applyBorder="1"/>
    <xf numFmtId="0" fontId="86" fillId="0" borderId="10" xfId="0" applyFont="1" applyBorder="1"/>
    <xf numFmtId="0" fontId="59" fillId="0" borderId="10" xfId="0" applyFont="1" applyBorder="1"/>
    <xf numFmtId="9" fontId="59" fillId="0" borderId="10" xfId="0" applyNumberFormat="1" applyFont="1" applyBorder="1" applyAlignment="1">
      <alignment horizontal="right"/>
    </xf>
    <xf numFmtId="0" fontId="59" fillId="0" borderId="10" xfId="0" applyFont="1" applyBorder="1" applyAlignment="1">
      <alignment horizontal="right"/>
    </xf>
    <xf numFmtId="3" fontId="59" fillId="6" borderId="10" xfId="0" applyNumberFormat="1" applyFont="1" applyFill="1" applyBorder="1" applyAlignment="1">
      <alignment horizontal="center"/>
    </xf>
    <xf numFmtId="3" fontId="60" fillId="6" borderId="10" xfId="0" applyNumberFormat="1" applyFont="1" applyFill="1" applyBorder="1"/>
    <xf numFmtId="0" fontId="79" fillId="0" borderId="10" xfId="0" applyFont="1" applyBorder="1"/>
    <xf numFmtId="0" fontId="60" fillId="6" borderId="10" xfId="0" applyFont="1" applyFill="1" applyBorder="1" applyAlignment="1">
      <alignment wrapText="1"/>
    </xf>
    <xf numFmtId="3" fontId="62" fillId="0" borderId="10" xfId="0" applyNumberFormat="1" applyFont="1" applyBorder="1" applyAlignment="1">
      <alignment horizontal="right"/>
    </xf>
    <xf numFmtId="0" fontId="126" fillId="0" borderId="10" xfId="0" applyFont="1" applyBorder="1" applyAlignment="1">
      <alignment vertical="center"/>
    </xf>
    <xf numFmtId="3" fontId="59" fillId="0" borderId="10" xfId="0" applyNumberFormat="1" applyFont="1" applyBorder="1" applyAlignment="1">
      <alignment horizontal="left" vertical="center" wrapText="1"/>
    </xf>
    <xf numFmtId="0" fontId="75" fillId="6" borderId="10" xfId="0" applyFont="1" applyFill="1" applyBorder="1" applyAlignment="1">
      <alignment horizontal="right"/>
    </xf>
    <xf numFmtId="0" fontId="60" fillId="0" borderId="10" xfId="0" applyFont="1" applyBorder="1"/>
    <xf numFmtId="9" fontId="60" fillId="6" borderId="10" xfId="0" applyNumberFormat="1" applyFont="1" applyFill="1" applyBorder="1" applyAlignment="1">
      <alignment horizontal="center"/>
    </xf>
    <xf numFmtId="177" fontId="59" fillId="0" borderId="13" xfId="0" applyNumberFormat="1" applyFont="1" applyBorder="1" applyAlignment="1">
      <alignment horizontal="center" vertical="center"/>
    </xf>
    <xf numFmtId="0" fontId="59" fillId="0" borderId="13" xfId="0" applyFont="1" applyBorder="1" applyAlignment="1">
      <alignment horizontal="left" vertical="center" wrapText="1"/>
    </xf>
    <xf numFmtId="0" fontId="61" fillId="8" borderId="10" xfId="0" applyFont="1" applyFill="1" applyBorder="1"/>
    <xf numFmtId="0" fontId="59" fillId="8" borderId="10" xfId="0" applyFont="1" applyFill="1" applyBorder="1" applyAlignment="1">
      <alignment horizontal="center"/>
    </xf>
    <xf numFmtId="0" fontId="86" fillId="8" borderId="10" xfId="0" applyFont="1" applyFill="1" applyBorder="1"/>
    <xf numFmtId="0" fontId="59" fillId="8" borderId="10" xfId="0" applyFont="1" applyFill="1" applyBorder="1"/>
    <xf numFmtId="9" fontId="59" fillId="8" borderId="10" xfId="0" applyNumberFormat="1" applyFont="1" applyFill="1" applyBorder="1" applyAlignment="1">
      <alignment horizontal="right" wrapText="1"/>
    </xf>
    <xf numFmtId="172" fontId="59" fillId="8" borderId="10" xfId="0" applyNumberFormat="1" applyFont="1" applyFill="1" applyBorder="1" applyAlignment="1">
      <alignment horizontal="right"/>
    </xf>
    <xf numFmtId="3" fontId="59" fillId="8" borderId="10" xfId="0" applyNumberFormat="1" applyFont="1" applyFill="1" applyBorder="1" applyAlignment="1">
      <alignment horizontal="right" wrapText="1"/>
    </xf>
    <xf numFmtId="172" fontId="59" fillId="8" borderId="13" xfId="0" applyNumberFormat="1" applyFont="1" applyFill="1" applyBorder="1" applyAlignment="1">
      <alignment horizontal="right"/>
    </xf>
    <xf numFmtId="172" fontId="59" fillId="8" borderId="48" xfId="0" applyNumberFormat="1" applyFont="1" applyFill="1" applyBorder="1" applyAlignment="1">
      <alignment horizontal="right"/>
    </xf>
    <xf numFmtId="0" fontId="61" fillId="6" borderId="10" xfId="0" applyFont="1" applyFill="1" applyBorder="1" applyAlignment="1">
      <alignment vertical="center"/>
    </xf>
    <xf numFmtId="9" fontId="59" fillId="6" borderId="10" xfId="0" applyNumberFormat="1" applyFont="1" applyFill="1" applyBorder="1" applyAlignment="1">
      <alignment horizontal="center" vertical="center"/>
    </xf>
    <xf numFmtId="0" fontId="60" fillId="0" borderId="10" xfId="0" applyFont="1" applyBorder="1" applyAlignment="1">
      <alignment horizontal="center"/>
    </xf>
    <xf numFmtId="9" fontId="59" fillId="6" borderId="10" xfId="0" applyNumberFormat="1" applyFont="1" applyFill="1" applyBorder="1" applyAlignment="1">
      <alignment horizontal="right" wrapText="1"/>
    </xf>
    <xf numFmtId="3" fontId="60" fillId="6" borderId="10" xfId="0" applyNumberFormat="1" applyFont="1" applyFill="1" applyBorder="1" applyAlignment="1">
      <alignment horizontal="center"/>
    </xf>
    <xf numFmtId="10" fontId="59" fillId="0" borderId="10" xfId="0" applyNumberFormat="1" applyFont="1" applyBorder="1" applyAlignment="1">
      <alignment horizontal="right"/>
    </xf>
    <xf numFmtId="3" fontId="79" fillId="6" borderId="10" xfId="0" applyNumberFormat="1" applyFont="1" applyFill="1" applyBorder="1" applyAlignment="1">
      <alignment horizontal="right"/>
    </xf>
    <xf numFmtId="3" fontId="59" fillId="6" borderId="10" xfId="0" applyNumberFormat="1" applyFont="1" applyFill="1" applyBorder="1" applyAlignment="1">
      <alignment horizontal="center" wrapText="1"/>
    </xf>
    <xf numFmtId="177" fontId="59" fillId="0" borderId="10" xfId="0" applyNumberFormat="1" applyFont="1" applyBorder="1" applyAlignment="1">
      <alignment horizontal="right"/>
    </xf>
    <xf numFmtId="172" fontId="59" fillId="6" borderId="13" xfId="0" applyNumberFormat="1" applyFont="1" applyFill="1" applyBorder="1" applyAlignment="1">
      <alignment horizontal="center" vertical="center"/>
    </xf>
    <xf numFmtId="9" fontId="59" fillId="6" borderId="10" xfId="0" applyNumberFormat="1" applyFont="1" applyFill="1" applyBorder="1" applyAlignment="1">
      <alignment horizontal="center" wrapText="1"/>
    </xf>
    <xf numFmtId="9" fontId="59" fillId="6" borderId="10" xfId="0" applyNumberFormat="1" applyFont="1" applyFill="1" applyBorder="1" applyAlignment="1">
      <alignment horizontal="center"/>
    </xf>
    <xf numFmtId="0" fontId="126" fillId="0" borderId="10" xfId="0" applyFont="1" applyBorder="1" applyAlignment="1">
      <alignment horizontal="left" vertical="center" wrapText="1"/>
    </xf>
    <xf numFmtId="9" fontId="59" fillId="0" borderId="10" xfId="0" applyNumberFormat="1" applyFont="1" applyBorder="1" applyAlignment="1">
      <alignment horizontal="center" wrapText="1"/>
    </xf>
    <xf numFmtId="9" fontId="59" fillId="0" borderId="10" xfId="0" applyNumberFormat="1" applyFont="1" applyBorder="1" applyAlignment="1">
      <alignment horizontal="center"/>
    </xf>
    <xf numFmtId="0" fontId="75" fillId="0" borderId="10" xfId="0" applyFont="1" applyBorder="1" applyAlignment="1">
      <alignment horizontal="left" vertical="center"/>
    </xf>
    <xf numFmtId="0" fontId="59" fillId="6" borderId="0" xfId="0" applyFont="1" applyFill="1" applyAlignment="1">
      <alignment horizontal="center" vertical="center"/>
    </xf>
    <xf numFmtId="0" fontId="62" fillId="6" borderId="0" xfId="0" applyFont="1" applyFill="1" applyAlignment="1">
      <alignment horizontal="center" vertical="center"/>
    </xf>
    <xf numFmtId="0" fontId="62" fillId="6" borderId="0" xfId="0" applyFont="1" applyFill="1" applyAlignment="1">
      <alignment horizontal="left" vertical="center" wrapText="1"/>
    </xf>
    <xf numFmtId="0" fontId="62" fillId="6" borderId="0" xfId="0" applyFont="1" applyFill="1" applyAlignment="1">
      <alignment horizontal="left" vertical="center"/>
    </xf>
    <xf numFmtId="0" fontId="62" fillId="6" borderId="0" xfId="0" applyFont="1" applyFill="1" applyAlignment="1">
      <alignment vertical="center"/>
    </xf>
    <xf numFmtId="172" fontId="62" fillId="6" borderId="0" xfId="0" applyNumberFormat="1" applyFont="1" applyFill="1" applyAlignment="1">
      <alignment horizontal="center" vertical="center"/>
    </xf>
    <xf numFmtId="10" fontId="62" fillId="6" borderId="0" xfId="0" applyNumberFormat="1" applyFont="1" applyFill="1" applyAlignment="1">
      <alignment horizontal="center" vertical="center"/>
    </xf>
    <xf numFmtId="3" fontId="62" fillId="6" borderId="0" xfId="0" applyNumberFormat="1" applyFont="1" applyFill="1" applyAlignment="1">
      <alignment horizontal="right"/>
    </xf>
    <xf numFmtId="10" fontId="62" fillId="6" borderId="0" xfId="0" applyNumberFormat="1" applyFont="1" applyFill="1" applyAlignment="1">
      <alignment horizontal="right"/>
    </xf>
    <xf numFmtId="172" fontId="62" fillId="6" borderId="0" xfId="0" applyNumberFormat="1" applyFont="1" applyFill="1" applyAlignment="1">
      <alignment horizontal="right"/>
    </xf>
    <xf numFmtId="0" fontId="62" fillId="6" borderId="0" xfId="0" applyFont="1" applyFill="1" applyAlignment="1">
      <alignment horizontal="center" vertical="center" wrapText="1"/>
    </xf>
    <xf numFmtId="0" fontId="60" fillId="6" borderId="0" xfId="0" applyFont="1" applyFill="1" applyAlignment="1">
      <alignment horizontal="center" vertical="center"/>
    </xf>
    <xf numFmtId="0" fontId="60" fillId="6" borderId="0" xfId="0" applyFont="1" applyFill="1" applyAlignment="1">
      <alignment horizontal="left" vertical="center"/>
    </xf>
    <xf numFmtId="0" fontId="60" fillId="6" borderId="0" xfId="0" applyFont="1" applyFill="1" applyAlignment="1">
      <alignment vertical="center"/>
    </xf>
    <xf numFmtId="1" fontId="60" fillId="6" borderId="0" xfId="0" applyNumberFormat="1" applyFont="1" applyFill="1" applyAlignment="1">
      <alignment horizontal="center" vertical="center"/>
    </xf>
    <xf numFmtId="172" fontId="80" fillId="6" borderId="0" xfId="0" applyNumberFormat="1" applyFont="1" applyFill="1" applyAlignment="1">
      <alignment horizontal="right" vertical="center"/>
    </xf>
    <xf numFmtId="10" fontId="60" fillId="6" borderId="0" xfId="0" applyNumberFormat="1" applyFont="1" applyFill="1" applyAlignment="1">
      <alignment horizontal="center" vertical="center"/>
    </xf>
    <xf numFmtId="3" fontId="60" fillId="6" borderId="0" xfId="0" applyNumberFormat="1" applyFont="1" applyFill="1" applyAlignment="1">
      <alignment horizontal="right"/>
    </xf>
    <xf numFmtId="172" fontId="60" fillId="6" borderId="0" xfId="0" applyNumberFormat="1" applyFont="1" applyFill="1" applyAlignment="1">
      <alignment horizontal="right"/>
    </xf>
    <xf numFmtId="0" fontId="60" fillId="6" borderId="0" xfId="0" applyFont="1" applyFill="1" applyAlignment="1">
      <alignment horizontal="left" vertical="center" wrapText="1"/>
    </xf>
    <xf numFmtId="172" fontId="60" fillId="6" borderId="0" xfId="0" applyNumberFormat="1" applyFont="1" applyFill="1" applyAlignment="1">
      <alignment horizontal="right" vertical="center"/>
    </xf>
    <xf numFmtId="10" fontId="60" fillId="6" borderId="0" xfId="0" applyNumberFormat="1" applyFont="1" applyFill="1" applyAlignment="1">
      <alignment vertical="center"/>
    </xf>
    <xf numFmtId="0" fontId="60" fillId="6" borderId="0" xfId="0" applyFont="1" applyFill="1" applyAlignment="1">
      <alignment horizontal="center" vertical="center" wrapText="1"/>
    </xf>
    <xf numFmtId="0" fontId="62" fillId="6" borderId="0" xfId="0" applyFont="1" applyFill="1" applyAlignment="1">
      <alignment vertical="center" wrapText="1"/>
    </xf>
    <xf numFmtId="172" fontId="62" fillId="6" borderId="0" xfId="0" applyNumberFormat="1" applyFont="1" applyFill="1" applyAlignment="1">
      <alignment vertical="center"/>
    </xf>
    <xf numFmtId="3" fontId="62" fillId="6" borderId="0" xfId="0" applyNumberFormat="1" applyFont="1" applyFill="1" applyAlignment="1">
      <alignment vertical="center"/>
    </xf>
    <xf numFmtId="172" fontId="39" fillId="0" borderId="0" xfId="0" applyNumberFormat="1" applyFont="1" applyAlignment="1">
      <alignment horizontal="center"/>
    </xf>
    <xf numFmtId="0" fontId="64" fillId="0" borderId="10" xfId="0" applyFont="1" applyBorder="1" applyAlignment="1">
      <alignment horizontal="center" vertical="center"/>
    </xf>
    <xf numFmtId="0" fontId="64" fillId="0" borderId="10" xfId="0" applyFont="1" applyBorder="1" applyAlignment="1">
      <alignment vertical="center"/>
    </xf>
    <xf numFmtId="0" fontId="127" fillId="0" borderId="13" xfId="0" applyFont="1" applyBorder="1" applyAlignment="1">
      <alignment horizontal="left" vertical="center" wrapText="1"/>
    </xf>
    <xf numFmtId="0" fontId="127" fillId="0" borderId="13" xfId="0" applyFont="1" applyBorder="1" applyAlignment="1">
      <alignment vertical="center"/>
    </xf>
    <xf numFmtId="0" fontId="127" fillId="0" borderId="13" xfId="0" applyFont="1" applyBorder="1" applyAlignment="1">
      <alignment vertical="center" wrapText="1"/>
    </xf>
    <xf numFmtId="0" fontId="127" fillId="0" borderId="13" xfId="0" applyFont="1" applyBorder="1" applyAlignment="1">
      <alignment horizontal="center" vertical="center"/>
    </xf>
    <xf numFmtId="0" fontId="127" fillId="0" borderId="13" xfId="0" applyFont="1" applyBorder="1" applyAlignment="1">
      <alignment horizontal="right" vertical="center"/>
    </xf>
    <xf numFmtId="1" fontId="127" fillId="0" borderId="13" xfId="0" applyNumberFormat="1" applyFont="1" applyBorder="1" applyAlignment="1">
      <alignment horizontal="right" vertical="center"/>
    </xf>
    <xf numFmtId="3" fontId="127" fillId="0" borderId="13" xfId="0" applyNumberFormat="1" applyFont="1" applyBorder="1" applyAlignment="1">
      <alignment horizontal="center" vertical="center" wrapText="1"/>
    </xf>
    <xf numFmtId="3" fontId="127" fillId="0" borderId="13" xfId="0" applyNumberFormat="1" applyFont="1" applyBorder="1" applyAlignment="1">
      <alignment vertical="center" wrapText="1"/>
    </xf>
    <xf numFmtId="0" fontId="86" fillId="0" borderId="13" xfId="0" applyFont="1" applyBorder="1" applyAlignment="1">
      <alignment horizontal="left" vertical="center" wrapText="1"/>
    </xf>
    <xf numFmtId="0" fontId="127" fillId="0" borderId="10" xfId="0" applyFont="1" applyBorder="1" applyAlignment="1">
      <alignment horizontal="left" vertical="center" wrapText="1"/>
    </xf>
    <xf numFmtId="0" fontId="127" fillId="0" borderId="10" xfId="0" applyFont="1" applyBorder="1" applyAlignment="1">
      <alignment vertical="center"/>
    </xf>
    <xf numFmtId="0" fontId="127" fillId="0" borderId="10" xfId="0" applyFont="1" applyBorder="1" applyAlignment="1">
      <alignment vertical="center" wrapText="1"/>
    </xf>
    <xf numFmtId="0" fontId="127" fillId="0" borderId="10" xfId="0" applyFont="1" applyBorder="1" applyAlignment="1">
      <alignment horizontal="center" vertical="center"/>
    </xf>
    <xf numFmtId="0" fontId="127" fillId="0" borderId="10" xfId="0" applyFont="1" applyBorder="1" applyAlignment="1">
      <alignment horizontal="right" vertical="center"/>
    </xf>
    <xf numFmtId="1" fontId="127" fillId="0" borderId="10" xfId="0" applyNumberFormat="1" applyFont="1" applyBorder="1" applyAlignment="1">
      <alignment horizontal="right" vertical="center"/>
    </xf>
    <xf numFmtId="3" fontId="127" fillId="0" borderId="10" xfId="0" applyNumberFormat="1" applyFont="1" applyBorder="1" applyAlignment="1">
      <alignment horizontal="center" vertical="center" wrapText="1"/>
    </xf>
    <xf numFmtId="3" fontId="127" fillId="0" borderId="10" xfId="0" applyNumberFormat="1" applyFont="1" applyBorder="1" applyAlignment="1">
      <alignment vertical="center" wrapText="1"/>
    </xf>
    <xf numFmtId="0" fontId="86" fillId="0" borderId="10" xfId="0" applyFont="1" applyBorder="1" applyAlignment="1">
      <alignment horizontal="left" vertical="center" wrapText="1"/>
    </xf>
    <xf numFmtId="0" fontId="86" fillId="0" borderId="10" xfId="0" applyFont="1" applyBorder="1" applyAlignment="1">
      <alignment vertical="center" wrapText="1"/>
    </xf>
    <xf numFmtId="0" fontId="86" fillId="0" borderId="10" xfId="0" applyFont="1" applyBorder="1" applyAlignment="1">
      <alignment horizontal="right" vertical="center"/>
    </xf>
    <xf numFmtId="1" fontId="86" fillId="0" borderId="10" xfId="0" applyNumberFormat="1" applyFont="1" applyBorder="1" applyAlignment="1">
      <alignment horizontal="right" vertical="center"/>
    </xf>
    <xf numFmtId="9" fontId="59" fillId="0" borderId="10" xfId="0" applyNumberFormat="1" applyFont="1" applyBorder="1" applyAlignment="1">
      <alignment vertical="center" wrapText="1"/>
    </xf>
    <xf numFmtId="0" fontId="59" fillId="0" borderId="46" xfId="0" applyFont="1" applyBorder="1" applyAlignment="1">
      <alignment horizontal="left" vertical="center" wrapText="1"/>
    </xf>
    <xf numFmtId="0" fontId="59" fillId="0" borderId="47" xfId="0" applyFont="1" applyBorder="1" applyAlignment="1">
      <alignment vertical="center"/>
    </xf>
    <xf numFmtId="1" fontId="59" fillId="0" borderId="10" xfId="0" applyNumberFormat="1" applyFont="1" applyBorder="1" applyAlignment="1">
      <alignment horizontal="right" vertical="center"/>
    </xf>
    <xf numFmtId="177" fontId="59" fillId="0" borderId="10" xfId="0" applyNumberFormat="1" applyFont="1" applyBorder="1" applyAlignment="1">
      <alignment horizontal="center" vertical="center" wrapText="1"/>
    </xf>
    <xf numFmtId="177" fontId="59" fillId="0" borderId="46" xfId="0" applyNumberFormat="1" applyFont="1" applyBorder="1" applyAlignment="1">
      <alignment horizontal="center" vertical="center" wrapText="1"/>
    </xf>
    <xf numFmtId="1" fontId="59" fillId="0" borderId="10" xfId="0" applyNumberFormat="1" applyFont="1" applyBorder="1" applyAlignment="1">
      <alignment horizontal="right" vertical="center" wrapText="1"/>
    </xf>
    <xf numFmtId="177" fontId="59" fillId="0" borderId="10" xfId="0" applyNumberFormat="1" applyFont="1" applyBorder="1" applyAlignment="1">
      <alignment horizontal="left" vertical="center" wrapText="1"/>
    </xf>
    <xf numFmtId="0" fontId="127" fillId="0" borderId="10" xfId="0" applyFont="1" applyBorder="1" applyAlignment="1">
      <alignment horizontal="center" vertical="center" wrapText="1"/>
    </xf>
    <xf numFmtId="3" fontId="128" fillId="0" borderId="10" xfId="0" applyNumberFormat="1" applyFont="1" applyBorder="1" applyAlignment="1">
      <alignment horizontal="center" vertical="center" wrapText="1"/>
    </xf>
    <xf numFmtId="177" fontId="59" fillId="0" borderId="46" xfId="0" applyNumberFormat="1" applyFont="1" applyBorder="1" applyAlignment="1">
      <alignment horizontal="left" vertical="center" wrapText="1"/>
    </xf>
    <xf numFmtId="0" fontId="129" fillId="0" borderId="10" xfId="0" applyFont="1" applyBorder="1" applyAlignment="1">
      <alignment horizontal="left" vertical="center" wrapText="1"/>
    </xf>
    <xf numFmtId="0" fontId="60" fillId="0" borderId="13" xfId="0" applyFont="1" applyBorder="1" applyAlignment="1">
      <alignment horizontal="center" vertical="center" wrapText="1"/>
    </xf>
    <xf numFmtId="1" fontId="60" fillId="0" borderId="13" xfId="0" applyNumberFormat="1" applyFont="1" applyBorder="1" applyAlignment="1">
      <alignment horizontal="center" vertical="center" wrapText="1"/>
    </xf>
    <xf numFmtId="0" fontId="60" fillId="0" borderId="13" xfId="0" applyFont="1" applyBorder="1" applyAlignment="1">
      <alignment vertical="center" wrapText="1"/>
    </xf>
    <xf numFmtId="1" fontId="60" fillId="0" borderId="10" xfId="0" applyNumberFormat="1" applyFont="1" applyBorder="1" applyAlignment="1">
      <alignment horizontal="right" vertical="center"/>
    </xf>
    <xf numFmtId="177" fontId="59" fillId="0" borderId="46" xfId="0" applyNumberFormat="1" applyFont="1" applyBorder="1" applyAlignment="1">
      <alignment horizontal="right" vertical="center" wrapText="1"/>
    </xf>
    <xf numFmtId="0" fontId="60" fillId="0" borderId="34" xfId="0" applyFont="1" applyBorder="1" applyAlignment="1">
      <alignment vertical="center" wrapText="1"/>
    </xf>
    <xf numFmtId="177" fontId="59" fillId="0" borderId="10" xfId="0" applyNumberFormat="1" applyFont="1" applyBorder="1" applyAlignment="1">
      <alignment horizontal="left" vertical="center"/>
    </xf>
    <xf numFmtId="187" fontId="59" fillId="0" borderId="10" xfId="0" applyNumberFormat="1" applyFont="1" applyBorder="1" applyAlignment="1">
      <alignment horizontal="right" vertical="center"/>
    </xf>
    <xf numFmtId="1" fontId="59" fillId="0" borderId="10" xfId="0" applyNumberFormat="1" applyFont="1" applyBorder="1" applyAlignment="1">
      <alignment horizontal="center" vertical="center"/>
    </xf>
    <xf numFmtId="0" fontId="64" fillId="0" borderId="10" xfId="0" applyFont="1" applyBorder="1" applyAlignment="1">
      <alignment vertical="center" wrapText="1"/>
    </xf>
    <xf numFmtId="3" fontId="59" fillId="0" borderId="14" xfId="0" applyNumberFormat="1" applyFont="1" applyBorder="1" applyAlignment="1">
      <alignment horizontal="center" vertical="center"/>
    </xf>
    <xf numFmtId="3" fontId="59" fillId="0" borderId="46" xfId="0" applyNumberFormat="1" applyFont="1" applyBorder="1" applyAlignment="1">
      <alignment horizontal="center" vertical="center"/>
    </xf>
    <xf numFmtId="3" fontId="59" fillId="0" borderId="34" xfId="0" applyNumberFormat="1" applyFont="1" applyBorder="1" applyAlignment="1">
      <alignment horizontal="center" vertical="center"/>
    </xf>
    <xf numFmtId="0" fontId="60" fillId="0" borderId="14" xfId="0" applyFont="1" applyBorder="1" applyAlignment="1">
      <alignment horizontal="center" vertical="center"/>
    </xf>
    <xf numFmtId="0" fontId="60" fillId="0" borderId="14" xfId="0" applyFont="1" applyBorder="1" applyAlignment="1">
      <alignment vertical="center" wrapText="1"/>
    </xf>
    <xf numFmtId="1" fontId="129" fillId="0" borderId="10" xfId="0" applyNumberFormat="1" applyFont="1" applyBorder="1" applyAlignment="1">
      <alignment vertical="center"/>
    </xf>
    <xf numFmtId="177" fontId="59" fillId="0" borderId="10" xfId="0" applyNumberFormat="1" applyFont="1" applyBorder="1" applyAlignment="1">
      <alignment vertical="center" wrapText="1"/>
    </xf>
    <xf numFmtId="3" fontId="59" fillId="0" borderId="13" xfId="0" applyNumberFormat="1" applyFont="1" applyBorder="1" applyAlignment="1">
      <alignment horizontal="center" vertical="center"/>
    </xf>
    <xf numFmtId="187" fontId="59" fillId="0" borderId="10" xfId="0" applyNumberFormat="1" applyFont="1" applyBorder="1" applyAlignment="1">
      <alignment vertical="center"/>
    </xf>
    <xf numFmtId="177" fontId="59" fillId="8" borderId="10" xfId="0" applyNumberFormat="1" applyFont="1" applyFill="1" applyBorder="1" applyAlignment="1">
      <alignment horizontal="left" vertical="center" wrapText="1"/>
    </xf>
    <xf numFmtId="0" fontId="59" fillId="0" borderId="46" xfId="0" applyFont="1" applyBorder="1" applyAlignment="1">
      <alignment horizontal="center" vertical="center"/>
    </xf>
    <xf numFmtId="0" fontId="59" fillId="0" borderId="48" xfId="0" applyFont="1" applyBorder="1"/>
    <xf numFmtId="0" fontId="59" fillId="0" borderId="48" xfId="0" applyFont="1" applyBorder="1" applyAlignment="1">
      <alignment wrapText="1"/>
    </xf>
    <xf numFmtId="3" fontId="59" fillId="0" borderId="0" xfId="0" applyNumberFormat="1" applyFont="1"/>
    <xf numFmtId="0" fontId="59" fillId="6" borderId="10" xfId="0" applyFont="1" applyFill="1" applyBorder="1" applyAlignment="1">
      <alignment horizontal="left" vertical="top" wrapText="1"/>
    </xf>
    <xf numFmtId="3" fontId="59" fillId="0" borderId="13" xfId="0" applyNumberFormat="1" applyFont="1" applyBorder="1" applyAlignment="1">
      <alignment vertical="center"/>
    </xf>
    <xf numFmtId="0" fontId="59" fillId="0" borderId="53" xfId="0" applyFont="1" applyBorder="1" applyAlignment="1">
      <alignment horizontal="center" vertical="center" wrapText="1"/>
    </xf>
    <xf numFmtId="177" fontId="59" fillId="0" borderId="0" xfId="0" applyNumberFormat="1" applyFont="1" applyAlignment="1">
      <alignment horizontal="center" vertical="center"/>
    </xf>
    <xf numFmtId="0" fontId="59" fillId="0" borderId="10" xfId="0" applyFont="1" applyBorder="1" applyAlignment="1">
      <alignment horizontal="left" wrapText="1"/>
    </xf>
    <xf numFmtId="0" fontId="59" fillId="0" borderId="13" xfId="0" applyFont="1" applyBorder="1" applyAlignment="1">
      <alignment horizontal="center" vertical="center"/>
    </xf>
    <xf numFmtId="0" fontId="64" fillId="0" borderId="13" xfId="0" applyFont="1" applyBorder="1" applyAlignment="1">
      <alignment horizontal="center" vertical="center"/>
    </xf>
    <xf numFmtId="0" fontId="64" fillId="0" borderId="13" xfId="0" applyFont="1" applyBorder="1" applyAlignment="1">
      <alignment horizontal="left" vertical="center" wrapText="1"/>
    </xf>
    <xf numFmtId="0" fontId="59" fillId="0" borderId="48" xfId="0" applyFont="1" applyBorder="1" applyAlignment="1">
      <alignment horizontal="center" vertical="center" wrapText="1"/>
    </xf>
    <xf numFmtId="0" fontId="62" fillId="0" borderId="13" xfId="0" applyFont="1" applyBorder="1" applyAlignment="1">
      <alignment horizontal="left" vertical="center" wrapText="1"/>
    </xf>
    <xf numFmtId="1" fontId="59" fillId="0" borderId="10" xfId="0" applyNumberFormat="1" applyFont="1" applyBorder="1" applyAlignment="1">
      <alignment vertical="center" wrapText="1"/>
    </xf>
    <xf numFmtId="0" fontId="59" fillId="0" borderId="0" xfId="0" applyFont="1" applyAlignment="1">
      <alignment horizontal="left" vertical="center" wrapText="1"/>
    </xf>
    <xf numFmtId="177" fontId="59" fillId="0" borderId="46" xfId="0" applyNumberFormat="1" applyFont="1" applyBorder="1" applyAlignment="1">
      <alignment vertical="center"/>
    </xf>
    <xf numFmtId="0" fontId="62" fillId="0" borderId="34" xfId="0" applyFont="1" applyBorder="1" applyAlignment="1">
      <alignment vertical="center"/>
    </xf>
    <xf numFmtId="203" fontId="59" fillId="0" borderId="10" xfId="0" applyNumberFormat="1" applyFont="1" applyBorder="1" applyAlignment="1">
      <alignment vertical="center"/>
    </xf>
    <xf numFmtId="203" fontId="62" fillId="0" borderId="10" xfId="0" applyNumberFormat="1" applyFont="1" applyBorder="1" applyAlignment="1">
      <alignment vertical="center"/>
    </xf>
    <xf numFmtId="200" fontId="62" fillId="0" borderId="10" xfId="0" applyNumberFormat="1" applyFont="1" applyBorder="1" applyAlignment="1">
      <alignment vertical="center"/>
    </xf>
    <xf numFmtId="0" fontId="25" fillId="0" borderId="46" xfId="0" applyFont="1" applyBorder="1" applyAlignment="1">
      <alignment vertical="center" wrapText="1"/>
    </xf>
    <xf numFmtId="0" fontId="25" fillId="0" borderId="66" xfId="0" applyFont="1" applyBorder="1" applyAlignment="1">
      <alignment vertical="center" wrapText="1"/>
    </xf>
    <xf numFmtId="0" fontId="31" fillId="0" borderId="66" xfId="0" applyFont="1" applyBorder="1" applyAlignment="1">
      <alignment vertical="center" wrapText="1"/>
    </xf>
    <xf numFmtId="0" fontId="63" fillId="8" borderId="98" xfId="0" applyFont="1" applyFill="1" applyBorder="1" applyAlignment="1">
      <alignment horizontal="center" vertical="center" wrapText="1"/>
    </xf>
    <xf numFmtId="0" fontId="59" fillId="8" borderId="98" xfId="0" applyFont="1" applyFill="1" applyBorder="1" applyAlignment="1">
      <alignment horizontal="center" vertical="center" wrapText="1"/>
    </xf>
    <xf numFmtId="0" fontId="63" fillId="8" borderId="98" xfId="0" applyFont="1" applyFill="1" applyBorder="1" applyAlignment="1">
      <alignment horizontal="right" vertical="center" wrapText="1"/>
    </xf>
    <xf numFmtId="3" fontId="63" fillId="8" borderId="18" xfId="0" applyNumberFormat="1" applyFont="1" applyFill="1" applyBorder="1" applyAlignment="1">
      <alignment vertical="center" wrapText="1"/>
    </xf>
    <xf numFmtId="172" fontId="63" fillId="8" borderId="18" xfId="0" applyNumberFormat="1" applyFont="1" applyFill="1" applyBorder="1" applyAlignment="1">
      <alignment horizontal="left" vertical="center" wrapText="1"/>
    </xf>
    <xf numFmtId="3" fontId="63" fillId="8" borderId="18" xfId="0" applyNumberFormat="1" applyFont="1" applyFill="1" applyBorder="1" applyAlignment="1">
      <alignment vertical="center"/>
    </xf>
    <xf numFmtId="9" fontId="63" fillId="8" borderId="18" xfId="0" applyNumberFormat="1" applyFont="1" applyFill="1" applyBorder="1" applyAlignment="1">
      <alignment vertical="center"/>
    </xf>
    <xf numFmtId="0" fontId="59" fillId="8" borderId="18" xfId="0" applyFont="1" applyFill="1" applyBorder="1" applyAlignment="1">
      <alignment vertical="center"/>
    </xf>
    <xf numFmtId="0" fontId="62" fillId="8" borderId="98" xfId="0" applyFont="1" applyFill="1" applyBorder="1" applyAlignment="1">
      <alignment horizontal="center" vertical="center" wrapText="1"/>
    </xf>
    <xf numFmtId="0" fontId="62" fillId="8" borderId="98" xfId="0" applyFont="1" applyFill="1" applyBorder="1" applyAlignment="1">
      <alignment horizontal="right" vertical="center" wrapText="1"/>
    </xf>
    <xf numFmtId="3" fontId="63" fillId="8" borderId="10" xfId="0" applyNumberFormat="1" applyFont="1" applyFill="1" applyBorder="1" applyAlignment="1">
      <alignment vertical="center" wrapText="1"/>
    </xf>
    <xf numFmtId="172" fontId="63" fillId="8" borderId="10" xfId="0" applyNumberFormat="1" applyFont="1" applyFill="1" applyBorder="1" applyAlignment="1">
      <alignment horizontal="left" vertical="center" wrapText="1"/>
    </xf>
    <xf numFmtId="3" fontId="63" fillId="8" borderId="10" xfId="0" applyNumberFormat="1" applyFont="1" applyFill="1" applyBorder="1" applyAlignment="1">
      <alignment vertical="center"/>
    </xf>
    <xf numFmtId="9" fontId="63" fillId="8" borderId="10" xfId="0" applyNumberFormat="1" applyFont="1" applyFill="1" applyBorder="1" applyAlignment="1">
      <alignment vertical="center"/>
    </xf>
    <xf numFmtId="3" fontId="62" fillId="8" borderId="10" xfId="0" applyNumberFormat="1" applyFont="1" applyFill="1" applyBorder="1" applyAlignment="1">
      <alignment vertical="center" wrapText="1"/>
    </xf>
    <xf numFmtId="172" fontId="62" fillId="8" borderId="10" xfId="0" applyNumberFormat="1" applyFont="1" applyFill="1" applyBorder="1" applyAlignment="1">
      <alignment horizontal="right" vertical="center" wrapText="1"/>
    </xf>
    <xf numFmtId="3" fontId="62" fillId="8" borderId="10" xfId="0" applyNumberFormat="1" applyFont="1" applyFill="1" applyBorder="1" applyAlignment="1">
      <alignment vertical="center"/>
    </xf>
    <xf numFmtId="9" fontId="62" fillId="8" borderId="10" xfId="0" applyNumberFormat="1" applyFont="1" applyFill="1" applyBorder="1" applyAlignment="1">
      <alignment vertical="center"/>
    </xf>
    <xf numFmtId="0" fontId="60" fillId="8" borderId="98" xfId="0" applyFont="1" applyFill="1" applyBorder="1" applyAlignment="1">
      <alignment horizontal="center" vertical="center" wrapText="1"/>
    </xf>
    <xf numFmtId="9" fontId="60" fillId="8" borderId="98" xfId="0" applyNumberFormat="1" applyFont="1" applyFill="1" applyBorder="1" applyAlignment="1">
      <alignment horizontal="center" vertical="center" wrapText="1"/>
    </xf>
    <xf numFmtId="0" fontId="62" fillId="8" borderId="98" xfId="0" applyFont="1" applyFill="1" applyBorder="1" applyAlignment="1">
      <alignment vertical="center" wrapText="1"/>
    </xf>
    <xf numFmtId="3" fontId="60" fillId="8" borderId="10" xfId="0" applyNumberFormat="1" applyFont="1" applyFill="1" applyBorder="1" applyAlignment="1">
      <alignment vertical="center" wrapText="1"/>
    </xf>
    <xf numFmtId="172" fontId="60" fillId="8" borderId="10" xfId="0" applyNumberFormat="1" applyFont="1" applyFill="1" applyBorder="1" applyAlignment="1">
      <alignment horizontal="right" vertical="center" wrapText="1"/>
    </xf>
    <xf numFmtId="3" fontId="60" fillId="8" borderId="10" xfId="0" applyNumberFormat="1" applyFont="1" applyFill="1" applyBorder="1" applyAlignment="1">
      <alignment vertical="center"/>
    </xf>
    <xf numFmtId="9" fontId="60" fillId="8" borderId="10" xfId="0" applyNumberFormat="1" applyFont="1" applyFill="1" applyBorder="1" applyAlignment="1">
      <alignment vertical="center"/>
    </xf>
    <xf numFmtId="0" fontId="59" fillId="8" borderId="98" xfId="0" applyFont="1" applyFill="1" applyBorder="1" applyAlignment="1">
      <alignment horizontal="left" vertical="center" wrapText="1"/>
    </xf>
    <xf numFmtId="9" fontId="59" fillId="8" borderId="98" xfId="0" applyNumberFormat="1" applyFont="1" applyFill="1" applyBorder="1" applyAlignment="1">
      <alignment horizontal="center" vertical="center" wrapText="1"/>
    </xf>
    <xf numFmtId="3" fontId="59" fillId="8" borderId="98" xfId="0" applyNumberFormat="1" applyFont="1" applyFill="1" applyBorder="1" applyAlignment="1">
      <alignment horizontal="right" vertical="center" wrapText="1"/>
    </xf>
    <xf numFmtId="9" fontId="59" fillId="8" borderId="98" xfId="0" applyNumberFormat="1" applyFont="1" applyFill="1" applyBorder="1" applyAlignment="1">
      <alignment horizontal="right" vertical="center" wrapText="1"/>
    </xf>
    <xf numFmtId="3" fontId="59" fillId="8" borderId="10" xfId="0" applyNumberFormat="1" applyFont="1" applyFill="1" applyBorder="1" applyAlignment="1">
      <alignment vertical="center" wrapText="1"/>
    </xf>
    <xf numFmtId="172" fontId="59" fillId="8" borderId="10" xfId="0" applyNumberFormat="1" applyFont="1" applyFill="1" applyBorder="1" applyAlignment="1">
      <alignment horizontal="right" vertical="center" wrapText="1"/>
    </xf>
    <xf numFmtId="3" fontId="59" fillId="8" borderId="10" xfId="0" applyNumberFormat="1" applyFont="1" applyFill="1" applyBorder="1" applyAlignment="1">
      <alignment horizontal="right" vertical="center" wrapText="1"/>
    </xf>
    <xf numFmtId="172" fontId="59" fillId="8" borderId="10" xfId="0" applyNumberFormat="1" applyFont="1" applyFill="1" applyBorder="1" applyAlignment="1">
      <alignment vertical="center"/>
    </xf>
    <xf numFmtId="184" fontId="59" fillId="8" borderId="98" xfId="0" applyNumberFormat="1" applyFont="1" applyFill="1" applyBorder="1" applyAlignment="1">
      <alignment horizontal="center" vertical="center" wrapText="1"/>
    </xf>
    <xf numFmtId="0" fontId="63" fillId="8" borderId="98" xfId="0" applyFont="1" applyFill="1" applyBorder="1" applyAlignment="1">
      <alignment horizontal="center" vertical="center"/>
    </xf>
    <xf numFmtId="0" fontId="60" fillId="8" borderId="98" xfId="0" applyFont="1" applyFill="1" applyBorder="1" applyAlignment="1">
      <alignment horizontal="center" vertical="center"/>
    </xf>
    <xf numFmtId="0" fontId="59" fillId="8" borderId="98" xfId="0" applyFont="1" applyFill="1" applyBorder="1" applyAlignment="1">
      <alignment vertical="center"/>
    </xf>
    <xf numFmtId="3" fontId="59" fillId="8" borderId="98" xfId="0" applyNumberFormat="1" applyFont="1" applyFill="1" applyBorder="1" applyAlignment="1">
      <alignment vertical="center" wrapText="1"/>
    </xf>
    <xf numFmtId="172" fontId="63" fillId="8" borderId="10" xfId="0" applyNumberFormat="1" applyFont="1" applyFill="1" applyBorder="1" applyAlignment="1">
      <alignment vertical="center"/>
    </xf>
    <xf numFmtId="0" fontId="59" fillId="8" borderId="98" xfId="0" applyFont="1" applyFill="1" applyBorder="1" applyAlignment="1">
      <alignment horizontal="center" vertical="center"/>
    </xf>
    <xf numFmtId="1" fontId="62" fillId="8" borderId="98" xfId="0" applyNumberFormat="1" applyFont="1" applyFill="1" applyBorder="1" applyAlignment="1">
      <alignment horizontal="center" vertical="center" wrapText="1"/>
    </xf>
    <xf numFmtId="49" fontId="59" fillId="8" borderId="98" xfId="0" applyNumberFormat="1" applyFont="1" applyFill="1" applyBorder="1" applyAlignment="1">
      <alignment horizontal="left" vertical="center"/>
    </xf>
    <xf numFmtId="0" fontId="59" fillId="8" borderId="98" xfId="0" applyFont="1" applyFill="1" applyBorder="1" applyAlignment="1">
      <alignment horizontal="right" vertical="center" wrapText="1"/>
    </xf>
    <xf numFmtId="172" fontId="59" fillId="8" borderId="98" xfId="0" applyNumberFormat="1" applyFont="1" applyFill="1" applyBorder="1" applyAlignment="1">
      <alignment vertical="center"/>
    </xf>
    <xf numFmtId="0" fontId="60" fillId="8" borderId="98" xfId="0" applyFont="1" applyFill="1" applyBorder="1" applyAlignment="1">
      <alignment vertical="center"/>
    </xf>
    <xf numFmtId="172" fontId="62" fillId="8" borderId="10" xfId="0" applyNumberFormat="1" applyFont="1" applyFill="1" applyBorder="1" applyAlignment="1">
      <alignment horizontal="left" vertical="center" wrapText="1"/>
    </xf>
    <xf numFmtId="3" fontId="60" fillId="8" borderId="98" xfId="0" applyNumberFormat="1" applyFont="1" applyFill="1" applyBorder="1" applyAlignment="1">
      <alignment vertical="center" wrapText="1"/>
    </xf>
    <xf numFmtId="172" fontId="62" fillId="8" borderId="10" xfId="0" applyNumberFormat="1" applyFont="1" applyFill="1" applyBorder="1" applyAlignment="1">
      <alignment vertical="center"/>
    </xf>
    <xf numFmtId="0" fontId="60" fillId="8" borderId="98" xfId="0" applyFont="1" applyFill="1" applyBorder="1" applyAlignment="1">
      <alignment horizontal="left" vertical="center" wrapText="1"/>
    </xf>
    <xf numFmtId="1" fontId="60" fillId="8" borderId="98" xfId="0" applyNumberFormat="1" applyFont="1" applyFill="1" applyBorder="1" applyAlignment="1">
      <alignment horizontal="center" vertical="center" wrapText="1"/>
    </xf>
    <xf numFmtId="0" fontId="60" fillId="8" borderId="98" xfId="0" applyFont="1" applyFill="1" applyBorder="1" applyAlignment="1">
      <alignment horizontal="center" vertical="top" wrapText="1"/>
    </xf>
    <xf numFmtId="0" fontId="59" fillId="8" borderId="98" xfId="0" applyFont="1" applyFill="1" applyBorder="1" applyAlignment="1">
      <alignment horizontal="left" vertical="center"/>
    </xf>
    <xf numFmtId="3" fontId="60" fillId="8" borderId="98" xfId="0" applyNumberFormat="1" applyFont="1" applyFill="1" applyBorder="1" applyAlignment="1">
      <alignment horizontal="center" vertical="center"/>
    </xf>
    <xf numFmtId="3" fontId="59" fillId="8" borderId="98" xfId="0" applyNumberFormat="1" applyFont="1" applyFill="1" applyBorder="1" applyAlignment="1">
      <alignment vertical="center"/>
    </xf>
    <xf numFmtId="172" fontId="60" fillId="8" borderId="10" xfId="0" applyNumberFormat="1" applyFont="1" applyFill="1" applyBorder="1" applyAlignment="1">
      <alignment horizontal="left" vertical="center" wrapText="1"/>
    </xf>
    <xf numFmtId="172" fontId="60" fillId="8" borderId="10" xfId="0" applyNumberFormat="1" applyFont="1" applyFill="1" applyBorder="1" applyAlignment="1">
      <alignment vertical="center"/>
    </xf>
    <xf numFmtId="49" fontId="59" fillId="8" borderId="98" xfId="0" quotePrefix="1" applyNumberFormat="1" applyFont="1" applyFill="1" applyBorder="1" applyAlignment="1">
      <alignment horizontal="left" vertical="center"/>
    </xf>
    <xf numFmtId="176" fontId="59" fillId="8" borderId="98" xfId="0" applyNumberFormat="1" applyFont="1" applyFill="1" applyBorder="1" applyAlignment="1">
      <alignment horizontal="left" vertical="center" wrapText="1"/>
    </xf>
    <xf numFmtId="3" fontId="59" fillId="8" borderId="98" xfId="0" applyNumberFormat="1" applyFont="1" applyFill="1" applyBorder="1" applyAlignment="1">
      <alignment horizontal="center" vertical="center" wrapText="1"/>
    </xf>
    <xf numFmtId="176" fontId="59" fillId="8" borderId="98" xfId="0" applyNumberFormat="1" applyFont="1" applyFill="1" applyBorder="1" applyAlignment="1">
      <alignment vertical="center" wrapText="1"/>
    </xf>
    <xf numFmtId="3" fontId="59" fillId="8" borderId="98" xfId="0" applyNumberFormat="1" applyFont="1" applyFill="1" applyBorder="1" applyAlignment="1">
      <alignment horizontal="right" vertical="center"/>
    </xf>
    <xf numFmtId="172" fontId="59" fillId="8" borderId="98" xfId="0" applyNumberFormat="1" applyFont="1" applyFill="1" applyBorder="1" applyAlignment="1">
      <alignment horizontal="right" vertical="center"/>
    </xf>
    <xf numFmtId="176" fontId="59" fillId="8" borderId="98" xfId="0" applyNumberFormat="1" applyFont="1" applyFill="1" applyBorder="1" applyAlignment="1">
      <alignment horizontal="left" vertical="top" wrapText="1"/>
    </xf>
    <xf numFmtId="9" fontId="59" fillId="8" borderId="10" xfId="0" applyNumberFormat="1" applyFont="1" applyFill="1" applyBorder="1" applyAlignment="1">
      <alignment horizontal="right" vertical="center" wrapText="1"/>
    </xf>
    <xf numFmtId="177" fontId="59" fillId="8" borderId="98" xfId="0" applyNumberFormat="1" applyFont="1" applyFill="1" applyBorder="1" applyAlignment="1">
      <alignment horizontal="right" vertical="center" wrapText="1"/>
    </xf>
    <xf numFmtId="0" fontId="62" fillId="8" borderId="98" xfId="0" applyFont="1" applyFill="1" applyBorder="1" applyAlignment="1">
      <alignment horizontal="center" vertical="center"/>
    </xf>
    <xf numFmtId="49" fontId="59" fillId="14" borderId="98" xfId="0" quotePrefix="1" applyNumberFormat="1" applyFont="1" applyFill="1" applyBorder="1" applyAlignment="1">
      <alignment horizontal="left" vertical="center"/>
    </xf>
    <xf numFmtId="0" fontId="59" fillId="14" borderId="98" xfId="0" applyFont="1" applyFill="1" applyBorder="1" applyAlignment="1">
      <alignment horizontal="center" vertical="center"/>
    </xf>
    <xf numFmtId="176" fontId="59" fillId="14" borderId="98" xfId="0" applyNumberFormat="1" applyFont="1" applyFill="1" applyBorder="1" applyAlignment="1">
      <alignment vertical="center" wrapText="1"/>
    </xf>
    <xf numFmtId="3" fontId="59" fillId="14" borderId="98" xfId="0" applyNumberFormat="1" applyFont="1" applyFill="1" applyBorder="1" applyAlignment="1">
      <alignment horizontal="center" vertical="center" wrapText="1"/>
    </xf>
    <xf numFmtId="176" fontId="59" fillId="14" borderId="98" xfId="0" applyNumberFormat="1" applyFont="1" applyFill="1" applyBorder="1" applyAlignment="1">
      <alignment horizontal="left" vertical="center" wrapText="1"/>
    </xf>
    <xf numFmtId="3" fontId="59" fillId="14" borderId="98" xfId="0" applyNumberFormat="1" applyFont="1" applyFill="1" applyBorder="1" applyAlignment="1">
      <alignment horizontal="right" vertical="center"/>
    </xf>
    <xf numFmtId="10" fontId="59" fillId="14" borderId="98" xfId="0" applyNumberFormat="1" applyFont="1" applyFill="1" applyBorder="1" applyAlignment="1">
      <alignment horizontal="right" vertical="center"/>
    </xf>
    <xf numFmtId="0" fontId="59" fillId="14" borderId="10" xfId="0" applyFont="1" applyFill="1" applyBorder="1" applyAlignment="1">
      <alignment vertical="center"/>
    </xf>
    <xf numFmtId="172" fontId="59" fillId="14" borderId="10" xfId="0" applyNumberFormat="1" applyFont="1" applyFill="1" applyBorder="1" applyAlignment="1">
      <alignment vertical="center"/>
    </xf>
    <xf numFmtId="3" fontId="59" fillId="14" borderId="98" xfId="0" applyNumberFormat="1" applyFont="1" applyFill="1" applyBorder="1" applyAlignment="1">
      <alignment horizontal="right" vertical="center" wrapText="1"/>
    </xf>
    <xf numFmtId="3" fontId="59" fillId="14" borderId="10" xfId="0" applyNumberFormat="1" applyFont="1" applyFill="1" applyBorder="1" applyAlignment="1">
      <alignment horizontal="right" vertical="center" wrapText="1"/>
    </xf>
    <xf numFmtId="184" fontId="59" fillId="14" borderId="98" xfId="0" applyNumberFormat="1" applyFont="1" applyFill="1" applyBorder="1" applyAlignment="1">
      <alignment horizontal="center" vertical="center" wrapText="1"/>
    </xf>
    <xf numFmtId="0" fontId="59" fillId="14" borderId="10" xfId="0" applyFont="1" applyFill="1" applyBorder="1" applyAlignment="1">
      <alignment vertical="center" wrapText="1"/>
    </xf>
    <xf numFmtId="177" fontId="59" fillId="8" borderId="98" xfId="0" applyNumberFormat="1" applyFont="1" applyFill="1" applyBorder="1" applyAlignment="1">
      <alignment horizontal="right" vertical="center"/>
    </xf>
    <xf numFmtId="0" fontId="59" fillId="8" borderId="98" xfId="0" applyFont="1" applyFill="1" applyBorder="1" applyAlignment="1">
      <alignment vertical="center" wrapText="1"/>
    </xf>
    <xf numFmtId="0" fontId="59" fillId="8" borderId="10" xfId="0" applyFont="1" applyFill="1" applyBorder="1" applyAlignment="1">
      <alignment vertical="top" wrapText="1"/>
    </xf>
    <xf numFmtId="0" fontId="86" fillId="8" borderId="98" xfId="0" applyFont="1" applyFill="1" applyBorder="1" applyAlignment="1">
      <alignment horizontal="center" vertical="center" wrapText="1"/>
    </xf>
    <xf numFmtId="176" fontId="60" fillId="8" borderId="98" xfId="0" applyNumberFormat="1" applyFont="1" applyFill="1" applyBorder="1" applyAlignment="1">
      <alignment horizontal="left" vertical="center" wrapText="1"/>
    </xf>
    <xf numFmtId="187" fontId="59" fillId="8" borderId="98" xfId="0" applyNumberFormat="1" applyFont="1" applyFill="1" applyBorder="1" applyAlignment="1">
      <alignment horizontal="right" vertical="center"/>
    </xf>
    <xf numFmtId="0" fontId="62" fillId="8" borderId="98" xfId="0" applyFont="1" applyFill="1" applyBorder="1" applyAlignment="1">
      <alignment vertical="center"/>
    </xf>
    <xf numFmtId="0" fontId="62" fillId="8" borderId="98" xfId="0" applyFont="1" applyFill="1" applyBorder="1" applyAlignment="1">
      <alignment horizontal="center" vertical="top" wrapText="1"/>
    </xf>
    <xf numFmtId="0" fontId="62" fillId="8" borderId="10" xfId="0" applyFont="1" applyFill="1" applyBorder="1"/>
    <xf numFmtId="172" fontId="62" fillId="8" borderId="10" xfId="0" applyNumberFormat="1" applyFont="1" applyFill="1" applyBorder="1"/>
    <xf numFmtId="3" fontId="62" fillId="8" borderId="10" xfId="0" applyNumberFormat="1" applyFont="1" applyFill="1" applyBorder="1"/>
    <xf numFmtId="3" fontId="60" fillId="8" borderId="98" xfId="0" applyNumberFormat="1" applyFont="1" applyFill="1" applyBorder="1" applyAlignment="1">
      <alignment horizontal="center" vertical="center" wrapText="1"/>
    </xf>
    <xf numFmtId="0" fontId="60" fillId="8" borderId="10" xfId="0" applyFont="1" applyFill="1" applyBorder="1"/>
    <xf numFmtId="172" fontId="60" fillId="8" borderId="10" xfId="0" applyNumberFormat="1" applyFont="1" applyFill="1" applyBorder="1"/>
    <xf numFmtId="3" fontId="60" fillId="8" borderId="10" xfId="0" applyNumberFormat="1" applyFont="1" applyFill="1" applyBorder="1"/>
    <xf numFmtId="172" fontId="59" fillId="8" borderId="10" xfId="0" applyNumberFormat="1" applyFont="1" applyFill="1" applyBorder="1" applyAlignment="1">
      <alignment horizontal="right" vertical="center"/>
    </xf>
    <xf numFmtId="9" fontId="59" fillId="8" borderId="98" xfId="0" applyNumberFormat="1" applyFont="1" applyFill="1" applyBorder="1" applyAlignment="1">
      <alignment horizontal="center" vertical="center"/>
    </xf>
    <xf numFmtId="9" fontId="59" fillId="8" borderId="98" xfId="0" applyNumberFormat="1" applyFont="1" applyFill="1" applyBorder="1" applyAlignment="1">
      <alignment horizontal="right" vertical="center"/>
    </xf>
    <xf numFmtId="3" fontId="59" fillId="8" borderId="10" xfId="0" applyNumberFormat="1" applyFont="1" applyFill="1" applyBorder="1" applyAlignment="1">
      <alignment horizontal="right" vertical="center"/>
    </xf>
    <xf numFmtId="0" fontId="59" fillId="8" borderId="98" xfId="0" applyFont="1" applyFill="1" applyBorder="1" applyAlignment="1">
      <alignment horizontal="left" vertical="top" wrapText="1"/>
    </xf>
    <xf numFmtId="188" fontId="59" fillId="8" borderId="98" xfId="0" applyNumberFormat="1" applyFont="1" applyFill="1" applyBorder="1" applyAlignment="1">
      <alignment horizontal="right" vertical="center" wrapText="1"/>
    </xf>
    <xf numFmtId="3" fontId="59" fillId="8" borderId="10" xfId="0" applyNumberFormat="1" applyFont="1" applyFill="1" applyBorder="1"/>
    <xf numFmtId="172" fontId="59" fillId="8" borderId="10" xfId="0" applyNumberFormat="1" applyFont="1" applyFill="1" applyBorder="1"/>
    <xf numFmtId="187" fontId="59" fillId="8" borderId="98" xfId="0" applyNumberFormat="1" applyFont="1" applyFill="1" applyBorder="1" applyAlignment="1">
      <alignment horizontal="right" vertical="center" wrapText="1"/>
    </xf>
    <xf numFmtId="0" fontId="59" fillId="8" borderId="98" xfId="0" applyFont="1" applyFill="1" applyBorder="1" applyAlignment="1">
      <alignment horizontal="left" wrapText="1"/>
    </xf>
    <xf numFmtId="1" fontId="59" fillId="8" borderId="98" xfId="0" applyNumberFormat="1" applyFont="1" applyFill="1" applyBorder="1" applyAlignment="1">
      <alignment horizontal="right" vertical="center" wrapText="1"/>
    </xf>
    <xf numFmtId="9" fontId="60" fillId="8" borderId="98" xfId="0" applyNumberFormat="1" applyFont="1" applyFill="1" applyBorder="1" applyAlignment="1">
      <alignment horizontal="center" vertical="center"/>
    </xf>
    <xf numFmtId="172" fontId="62" fillId="8" borderId="10" xfId="0" applyNumberFormat="1" applyFont="1" applyFill="1" applyBorder="1" applyAlignment="1">
      <alignment horizontal="right" vertical="center"/>
    </xf>
    <xf numFmtId="176" fontId="59" fillId="8" borderId="98" xfId="0" applyNumberFormat="1" applyFont="1" applyFill="1" applyBorder="1" applyAlignment="1">
      <alignment horizontal="right" vertical="center" wrapText="1"/>
    </xf>
    <xf numFmtId="176" fontId="59" fillId="8" borderId="98" xfId="0" applyNumberFormat="1" applyFont="1" applyFill="1" applyBorder="1" applyAlignment="1">
      <alignment vertical="center"/>
    </xf>
    <xf numFmtId="0" fontId="60" fillId="8" borderId="10" xfId="0" applyFont="1" applyFill="1" applyBorder="1" applyAlignment="1">
      <alignment horizontal="right" vertical="center"/>
    </xf>
    <xf numFmtId="172" fontId="60" fillId="8" borderId="10" xfId="0" applyNumberFormat="1" applyFont="1" applyFill="1" applyBorder="1" applyAlignment="1">
      <alignment horizontal="right" vertical="center"/>
    </xf>
    <xf numFmtId="176" fontId="59" fillId="8" borderId="98" xfId="0" applyNumberFormat="1" applyFont="1" applyFill="1" applyBorder="1" applyAlignment="1">
      <alignment horizontal="right" vertical="center"/>
    </xf>
    <xf numFmtId="172" fontId="59" fillId="8" borderId="98" xfId="0" applyNumberFormat="1" applyFont="1" applyFill="1" applyBorder="1" applyAlignment="1">
      <alignment horizontal="right" vertical="center" wrapText="1"/>
    </xf>
    <xf numFmtId="0" fontId="59" fillId="8" borderId="10" xfId="0" applyFont="1" applyFill="1" applyBorder="1" applyAlignment="1">
      <alignment horizontal="right" vertical="center" wrapText="1"/>
    </xf>
    <xf numFmtId="0" fontId="60" fillId="8" borderId="98" xfId="0" applyFont="1" applyFill="1" applyBorder="1" applyAlignment="1">
      <alignment vertical="center" wrapText="1"/>
    </xf>
    <xf numFmtId="1" fontId="59" fillId="8" borderId="10" xfId="0" applyNumberFormat="1" applyFont="1" applyFill="1" applyBorder="1" applyAlignment="1">
      <alignment horizontal="right" vertical="center" wrapText="1"/>
    </xf>
    <xf numFmtId="172" fontId="59" fillId="8" borderId="46" xfId="0" applyNumberFormat="1" applyFont="1" applyFill="1" applyBorder="1" applyAlignment="1">
      <alignment horizontal="right" vertical="center" wrapText="1"/>
    </xf>
    <xf numFmtId="172" fontId="59" fillId="8" borderId="102" xfId="0" applyNumberFormat="1" applyFont="1" applyFill="1" applyBorder="1" applyAlignment="1">
      <alignment vertical="center"/>
    </xf>
    <xf numFmtId="3" fontId="59" fillId="8" borderId="103" xfId="0" applyNumberFormat="1" applyFont="1" applyFill="1" applyBorder="1" applyAlignment="1">
      <alignment vertical="center"/>
    </xf>
    <xf numFmtId="176" fontId="59" fillId="8" borderId="98" xfId="0" applyNumberFormat="1" applyFont="1" applyFill="1" applyBorder="1" applyAlignment="1">
      <alignment vertical="top" wrapText="1"/>
    </xf>
    <xf numFmtId="0" fontId="59" fillId="8" borderId="10" xfId="0" applyFont="1" applyFill="1" applyBorder="1" applyAlignment="1">
      <alignment horizontal="right" vertical="center"/>
    </xf>
    <xf numFmtId="172" fontId="130" fillId="8" borderId="10" xfId="0" applyNumberFormat="1" applyFont="1" applyFill="1" applyBorder="1" applyAlignment="1">
      <alignment vertical="center"/>
    </xf>
    <xf numFmtId="3" fontId="59" fillId="8" borderId="98" xfId="0" applyNumberFormat="1" applyFont="1" applyFill="1" applyBorder="1" applyAlignment="1">
      <alignment horizontal="center" vertical="center"/>
    </xf>
    <xf numFmtId="177" fontId="59" fillId="8" borderId="98" xfId="0" applyNumberFormat="1" applyFont="1" applyFill="1" applyBorder="1" applyAlignment="1">
      <alignment horizontal="center" vertical="center"/>
    </xf>
    <xf numFmtId="0" fontId="79" fillId="8" borderId="98" xfId="0" applyFont="1" applyFill="1" applyBorder="1" applyAlignment="1">
      <alignment horizontal="center" vertical="center" wrapText="1"/>
    </xf>
    <xf numFmtId="176" fontId="59" fillId="8" borderId="98" xfId="0" applyNumberFormat="1" applyFont="1" applyFill="1" applyBorder="1" applyAlignment="1">
      <alignment horizontal="center" vertical="center" wrapText="1"/>
    </xf>
    <xf numFmtId="172" fontId="75" fillId="8" borderId="98" xfId="0" applyNumberFormat="1" applyFont="1" applyFill="1" applyBorder="1" applyAlignment="1">
      <alignment horizontal="right" vertical="center"/>
    </xf>
    <xf numFmtId="172" fontId="59" fillId="8" borderId="14" xfId="0" applyNumberFormat="1" applyFont="1" applyFill="1" applyBorder="1" applyAlignment="1">
      <alignment vertical="center"/>
    </xf>
    <xf numFmtId="3" fontId="75" fillId="8" borderId="98" xfId="0" applyNumberFormat="1" applyFont="1" applyFill="1" applyBorder="1" applyAlignment="1">
      <alignment vertical="center"/>
    </xf>
    <xf numFmtId="177" fontId="75" fillId="8" borderId="98" xfId="0" applyNumberFormat="1" applyFont="1" applyFill="1" applyBorder="1" applyAlignment="1">
      <alignment horizontal="right" vertical="center"/>
    </xf>
    <xf numFmtId="0" fontId="80" fillId="8" borderId="98" xfId="0" applyFont="1" applyFill="1" applyBorder="1" applyAlignment="1">
      <alignment horizontal="center" vertical="center" wrapText="1"/>
    </xf>
    <xf numFmtId="172" fontId="59" fillId="8" borderId="15" xfId="0" applyNumberFormat="1" applyFont="1" applyFill="1" applyBorder="1" applyAlignment="1">
      <alignment vertical="center"/>
    </xf>
    <xf numFmtId="10" fontId="59" fillId="8" borderId="10" xfId="0" applyNumberFormat="1" applyFont="1" applyFill="1" applyBorder="1" applyAlignment="1">
      <alignment vertical="center"/>
    </xf>
    <xf numFmtId="3" fontId="75" fillId="8" borderId="98" xfId="0" applyNumberFormat="1" applyFont="1" applyFill="1" applyBorder="1" applyAlignment="1">
      <alignment horizontal="right" vertical="center"/>
    </xf>
    <xf numFmtId="177" fontId="75" fillId="8" borderId="98" xfId="0" applyNumberFormat="1" applyFont="1" applyFill="1" applyBorder="1" applyAlignment="1">
      <alignment horizontal="center" vertical="center"/>
    </xf>
    <xf numFmtId="187" fontId="75" fillId="8" borderId="98" xfId="0" applyNumberFormat="1" applyFont="1" applyFill="1" applyBorder="1" applyAlignment="1">
      <alignment horizontal="right" vertical="center"/>
    </xf>
    <xf numFmtId="187" fontId="59" fillId="8" borderId="10" xfId="0" applyNumberFormat="1" applyFont="1" applyFill="1" applyBorder="1" applyAlignment="1">
      <alignment horizontal="right" vertical="center"/>
    </xf>
    <xf numFmtId="9" fontId="59" fillId="8" borderId="98" xfId="0" applyNumberFormat="1" applyFont="1" applyFill="1" applyBorder="1" applyAlignment="1">
      <alignment vertical="center" wrapText="1"/>
    </xf>
    <xf numFmtId="177" fontId="75" fillId="8" borderId="98" xfId="0" applyNumberFormat="1" applyFont="1" applyFill="1" applyBorder="1" applyAlignment="1">
      <alignment horizontal="right" vertical="center" wrapText="1"/>
    </xf>
    <xf numFmtId="0" fontId="59" fillId="8" borderId="98" xfId="0" applyFont="1" applyFill="1" applyBorder="1" applyAlignment="1">
      <alignment horizontal="right" vertical="center"/>
    </xf>
    <xf numFmtId="9" fontId="75" fillId="8" borderId="98" xfId="0" applyNumberFormat="1" applyFont="1" applyFill="1" applyBorder="1" applyAlignment="1">
      <alignment horizontal="right" vertical="center"/>
    </xf>
    <xf numFmtId="187" fontId="59" fillId="8" borderId="10" xfId="0" applyNumberFormat="1" applyFont="1" applyFill="1" applyBorder="1" applyAlignment="1">
      <alignment vertical="center"/>
    </xf>
    <xf numFmtId="177" fontId="75" fillId="8" borderId="98" xfId="0" applyNumberFormat="1" applyFont="1" applyFill="1" applyBorder="1" applyAlignment="1">
      <alignment horizontal="center" vertical="center" wrapText="1"/>
    </xf>
    <xf numFmtId="1" fontId="63" fillId="8" borderId="98" xfId="0" applyNumberFormat="1" applyFont="1" applyFill="1" applyBorder="1" applyAlignment="1">
      <alignment horizontal="center" vertical="center" wrapText="1"/>
    </xf>
    <xf numFmtId="0" fontId="84" fillId="8" borderId="98" xfId="0" applyFont="1" applyFill="1" applyBorder="1" applyAlignment="1">
      <alignment horizontal="center" vertical="center" wrapText="1"/>
    </xf>
    <xf numFmtId="9" fontId="75" fillId="8" borderId="98" xfId="0" applyNumberFormat="1" applyFont="1" applyFill="1" applyBorder="1" applyAlignment="1">
      <alignment vertical="center"/>
    </xf>
    <xf numFmtId="0" fontId="75" fillId="8" borderId="98" xfId="0" applyFont="1" applyFill="1" applyBorder="1" applyAlignment="1">
      <alignment horizontal="right" vertical="center"/>
    </xf>
    <xf numFmtId="0" fontId="59" fillId="8" borderId="98" xfId="0" applyFont="1" applyFill="1" applyBorder="1" applyAlignment="1">
      <alignment vertical="top" wrapText="1"/>
    </xf>
    <xf numFmtId="187" fontId="59" fillId="8" borderId="98" xfId="0" applyNumberFormat="1" applyFont="1" applyFill="1" applyBorder="1" applyAlignment="1">
      <alignment vertical="center"/>
    </xf>
    <xf numFmtId="0" fontId="59" fillId="8" borderId="0" xfId="0" applyFont="1" applyFill="1" applyAlignment="1">
      <alignment vertical="center"/>
    </xf>
    <xf numFmtId="3" fontId="75" fillId="8" borderId="98" xfId="0" applyNumberFormat="1" applyFont="1" applyFill="1" applyBorder="1" applyAlignment="1">
      <alignment horizontal="right" vertical="center" wrapText="1"/>
    </xf>
    <xf numFmtId="172" fontId="59" fillId="8" borderId="104" xfId="0" applyNumberFormat="1" applyFont="1" applyFill="1" applyBorder="1" applyAlignment="1">
      <alignment vertical="center"/>
    </xf>
    <xf numFmtId="9" fontId="59" fillId="8" borderId="98" xfId="0" applyNumberFormat="1" applyFont="1" applyFill="1" applyBorder="1" applyAlignment="1">
      <alignment vertical="center"/>
    </xf>
    <xf numFmtId="172" fontId="75" fillId="8" borderId="98" xfId="0" applyNumberFormat="1" applyFont="1" applyFill="1" applyBorder="1" applyAlignment="1">
      <alignment horizontal="right" vertical="center" wrapText="1"/>
    </xf>
    <xf numFmtId="9" fontId="59" fillId="8" borderId="10" xfId="0" applyNumberFormat="1" applyFont="1" applyFill="1" applyBorder="1" applyAlignment="1">
      <alignment horizontal="right" vertical="center"/>
    </xf>
    <xf numFmtId="9" fontId="59" fillId="8" borderId="13" xfId="0" applyNumberFormat="1" applyFont="1" applyFill="1" applyBorder="1" applyAlignment="1">
      <alignment vertical="center"/>
    </xf>
    <xf numFmtId="176" fontId="75" fillId="8" borderId="98" xfId="0" applyNumberFormat="1" applyFont="1" applyFill="1" applyBorder="1" applyAlignment="1">
      <alignment horizontal="left" vertical="center" wrapText="1"/>
    </xf>
    <xf numFmtId="1" fontId="59" fillId="8" borderId="98" xfId="0" applyNumberFormat="1" applyFont="1" applyFill="1" applyBorder="1" applyAlignment="1">
      <alignment vertical="center" wrapText="1"/>
    </xf>
    <xf numFmtId="172" fontId="59" fillId="8" borderId="10" xfId="0" applyNumberFormat="1" applyFont="1" applyFill="1" applyBorder="1" applyAlignment="1">
      <alignment vertical="center" wrapText="1"/>
    </xf>
    <xf numFmtId="49" fontId="59" fillId="8" borderId="10" xfId="0" applyNumberFormat="1" applyFont="1" applyFill="1" applyBorder="1" applyAlignment="1">
      <alignment horizontal="center" vertical="center"/>
    </xf>
    <xf numFmtId="0" fontId="59" fillId="8" borderId="10" xfId="0" applyFont="1" applyFill="1" applyBorder="1" applyAlignment="1">
      <alignment horizontal="right"/>
    </xf>
    <xf numFmtId="177" fontId="59" fillId="8" borderId="98" xfId="0" applyNumberFormat="1" applyFont="1" applyFill="1" applyBorder="1" applyAlignment="1">
      <alignment horizontal="center" vertical="center" wrapText="1"/>
    </xf>
    <xf numFmtId="0" fontId="86" fillId="8" borderId="98" xfId="0" applyFont="1" applyFill="1" applyBorder="1" applyAlignment="1">
      <alignment horizontal="center" vertical="center"/>
    </xf>
    <xf numFmtId="177" fontId="86" fillId="8" borderId="98" xfId="0" applyNumberFormat="1" applyFont="1" applyFill="1" applyBorder="1" applyAlignment="1">
      <alignment vertical="center"/>
    </xf>
    <xf numFmtId="0" fontId="86" fillId="8" borderId="98" xfId="0" applyFont="1" applyFill="1" applyBorder="1" applyAlignment="1">
      <alignment vertical="center"/>
    </xf>
    <xf numFmtId="0" fontId="131" fillId="8" borderId="0" xfId="0" applyFont="1" applyFill="1" applyAlignment="1">
      <alignment horizontal="center" vertical="center"/>
    </xf>
    <xf numFmtId="0" fontId="127" fillId="8" borderId="98" xfId="0" applyFont="1" applyFill="1" applyBorder="1" applyAlignment="1">
      <alignment horizontal="center" vertical="center"/>
    </xf>
    <xf numFmtId="168" fontId="59" fillId="8" borderId="98" xfId="0" applyNumberFormat="1" applyFont="1" applyFill="1" applyBorder="1" applyAlignment="1">
      <alignment vertical="center" wrapText="1"/>
    </xf>
    <xf numFmtId="176" fontId="60" fillId="8" borderId="98" xfId="0" applyNumberFormat="1" applyFont="1" applyFill="1" applyBorder="1" applyAlignment="1">
      <alignment horizontal="center" vertical="center" wrapText="1"/>
    </xf>
    <xf numFmtId="9" fontId="59" fillId="8" borderId="10" xfId="0" applyNumberFormat="1" applyFont="1" applyFill="1" applyBorder="1" applyAlignment="1">
      <alignment vertical="center"/>
    </xf>
    <xf numFmtId="189" fontId="59" fillId="8" borderId="10" xfId="0" applyNumberFormat="1" applyFont="1" applyFill="1" applyBorder="1" applyAlignment="1">
      <alignment horizontal="center" vertical="center"/>
    </xf>
    <xf numFmtId="189" fontId="75" fillId="8" borderId="98" xfId="0" applyNumberFormat="1" applyFont="1" applyFill="1" applyBorder="1" applyAlignment="1">
      <alignment horizontal="center" vertical="center" wrapText="1"/>
    </xf>
    <xf numFmtId="49" fontId="60" fillId="8" borderId="98" xfId="0" quotePrefix="1" applyNumberFormat="1" applyFont="1" applyFill="1" applyBorder="1" applyAlignment="1">
      <alignment horizontal="center" vertical="center" wrapText="1"/>
    </xf>
    <xf numFmtId="0" fontId="86" fillId="8" borderId="98" xfId="0" applyFont="1" applyFill="1" applyBorder="1" applyAlignment="1">
      <alignment horizontal="left" vertical="center"/>
    </xf>
    <xf numFmtId="0" fontId="127" fillId="8" borderId="98" xfId="0" applyFont="1" applyFill="1" applyBorder="1" applyAlignment="1">
      <alignment vertical="center"/>
    </xf>
    <xf numFmtId="0" fontId="127" fillId="8" borderId="98" xfId="0" applyFont="1" applyFill="1" applyBorder="1" applyAlignment="1">
      <alignment horizontal="left" vertical="center"/>
    </xf>
    <xf numFmtId="180" fontId="59" fillId="8" borderId="10" xfId="0" applyNumberFormat="1" applyFont="1" applyFill="1" applyBorder="1" applyAlignment="1">
      <alignment vertical="center"/>
    </xf>
    <xf numFmtId="0" fontId="127" fillId="8" borderId="98" xfId="0" applyFont="1" applyFill="1" applyBorder="1" applyAlignment="1">
      <alignment horizontal="center" vertical="center" wrapText="1"/>
    </xf>
    <xf numFmtId="9" fontId="86" fillId="8" borderId="98" xfId="0" applyNumberFormat="1" applyFont="1" applyFill="1" applyBorder="1" applyAlignment="1">
      <alignment horizontal="center" vertical="center"/>
    </xf>
    <xf numFmtId="0" fontId="62" fillId="8" borderId="98" xfId="0" applyFont="1" applyFill="1" applyBorder="1" applyAlignment="1">
      <alignment horizontal="left" vertical="center"/>
    </xf>
    <xf numFmtId="172" fontId="59" fillId="8" borderId="10" xfId="0" applyNumberFormat="1" applyFont="1" applyFill="1" applyBorder="1" applyAlignment="1">
      <alignment horizontal="center" vertical="center"/>
    </xf>
    <xf numFmtId="9" fontId="59" fillId="8" borderId="104" xfId="0" applyNumberFormat="1" applyFont="1" applyFill="1" applyBorder="1" applyAlignment="1">
      <alignment vertical="center"/>
    </xf>
    <xf numFmtId="9" fontId="62" fillId="8" borderId="98" xfId="0" applyNumberFormat="1" applyFont="1" applyFill="1" applyBorder="1" applyAlignment="1">
      <alignment horizontal="center" vertical="center"/>
    </xf>
    <xf numFmtId="0" fontId="75" fillId="8" borderId="98" xfId="0" applyFont="1" applyFill="1" applyBorder="1" applyAlignment="1">
      <alignment horizontal="left" vertical="top" wrapText="1"/>
    </xf>
    <xf numFmtId="177" fontId="59" fillId="8" borderId="98" xfId="0" applyNumberFormat="1" applyFont="1" applyFill="1" applyBorder="1" applyAlignment="1">
      <alignment horizontal="left" vertical="top" wrapText="1"/>
    </xf>
    <xf numFmtId="0" fontId="62" fillId="8" borderId="10" xfId="0" applyFont="1" applyFill="1" applyBorder="1" applyAlignment="1">
      <alignment vertical="center" wrapText="1"/>
    </xf>
    <xf numFmtId="0" fontId="60" fillId="8" borderId="98" xfId="0" applyFont="1" applyFill="1" applyBorder="1" applyAlignment="1">
      <alignment horizontal="left" vertical="center"/>
    </xf>
    <xf numFmtId="9" fontId="60" fillId="8" borderId="98" xfId="0" applyNumberFormat="1" applyFont="1" applyFill="1" applyBorder="1" applyAlignment="1">
      <alignment horizontal="left" vertical="center"/>
    </xf>
    <xf numFmtId="172" fontId="59" fillId="8" borderId="98" xfId="0" applyNumberFormat="1" applyFont="1" applyFill="1" applyBorder="1" applyAlignment="1">
      <alignment horizontal="center" vertical="center"/>
    </xf>
    <xf numFmtId="3" fontId="60" fillId="8" borderId="10" xfId="0" applyNumberFormat="1" applyFont="1" applyFill="1" applyBorder="1" applyAlignment="1">
      <alignment horizontal="right" vertical="center"/>
    </xf>
    <xf numFmtId="3" fontId="60" fillId="8" borderId="10" xfId="0" applyNumberFormat="1" applyFont="1" applyFill="1" applyBorder="1" applyAlignment="1">
      <alignment horizontal="right" vertical="center" wrapText="1"/>
    </xf>
    <xf numFmtId="0" fontId="132" fillId="8" borderId="98" xfId="0" applyFont="1" applyFill="1" applyBorder="1"/>
    <xf numFmtId="172" fontId="59" fillId="8" borderId="10" xfId="0" applyNumberFormat="1" applyFont="1" applyFill="1" applyBorder="1" applyAlignment="1">
      <alignment horizontal="center"/>
    </xf>
    <xf numFmtId="0" fontId="132" fillId="8" borderId="98" xfId="0" applyFont="1" applyFill="1" applyBorder="1" applyAlignment="1">
      <alignment horizontal="center" vertical="center"/>
    </xf>
    <xf numFmtId="49" fontId="60" fillId="8" borderId="98" xfId="0" applyNumberFormat="1" applyFont="1" applyFill="1" applyBorder="1" applyAlignment="1">
      <alignment horizontal="left" vertical="center"/>
    </xf>
    <xf numFmtId="0" fontId="110" fillId="8" borderId="98" xfId="0" applyFont="1" applyFill="1" applyBorder="1" applyAlignment="1">
      <alignment horizontal="left" vertical="center"/>
    </xf>
    <xf numFmtId="0" fontId="59" fillId="8" borderId="101" xfId="0" applyFont="1" applyFill="1" applyBorder="1" applyAlignment="1">
      <alignment vertical="top" wrapText="1"/>
    </xf>
    <xf numFmtId="0" fontId="131" fillId="8" borderId="102" xfId="0" applyFont="1" applyFill="1" applyBorder="1" applyAlignment="1">
      <alignment horizontal="left" vertical="top" wrapText="1"/>
    </xf>
    <xf numFmtId="176" fontId="86" fillId="8" borderId="98" xfId="0" applyNumberFormat="1" applyFont="1" applyFill="1" applyBorder="1" applyAlignment="1">
      <alignment vertical="center" wrapText="1"/>
    </xf>
    <xf numFmtId="172" fontId="59" fillId="8" borderId="105" xfId="0" applyNumberFormat="1" applyFont="1" applyFill="1" applyBorder="1" applyAlignment="1">
      <alignment vertical="center"/>
    </xf>
    <xf numFmtId="172" fontId="59" fillId="8" borderId="98" xfId="0" applyNumberFormat="1" applyFont="1" applyFill="1" applyBorder="1" applyAlignment="1">
      <alignment horizontal="center" vertical="center" wrapText="1"/>
    </xf>
    <xf numFmtId="49" fontId="62" fillId="8" borderId="98" xfId="0" applyNumberFormat="1" applyFont="1" applyFill="1" applyBorder="1" applyAlignment="1">
      <alignment horizontal="left" vertical="center"/>
    </xf>
    <xf numFmtId="176" fontId="62" fillId="8" borderId="98" xfId="0" applyNumberFormat="1" applyFont="1" applyFill="1" applyBorder="1" applyAlignment="1">
      <alignment horizontal="left" vertical="center" wrapText="1"/>
    </xf>
    <xf numFmtId="176" fontId="62" fillId="8" borderId="98" xfId="0" applyNumberFormat="1" applyFont="1" applyFill="1" applyBorder="1" applyAlignment="1">
      <alignment vertical="center" wrapText="1"/>
    </xf>
    <xf numFmtId="9" fontId="62" fillId="8" borderId="98" xfId="0" applyNumberFormat="1" applyFont="1" applyFill="1" applyBorder="1" applyAlignment="1">
      <alignment vertical="center" wrapText="1"/>
    </xf>
    <xf numFmtId="172" fontId="62" fillId="8" borderId="98" xfId="0" applyNumberFormat="1" applyFont="1" applyFill="1" applyBorder="1" applyAlignment="1">
      <alignment horizontal="right" vertical="center" wrapText="1"/>
    </xf>
    <xf numFmtId="3" fontId="62" fillId="8" borderId="98" xfId="0" applyNumberFormat="1" applyFont="1" applyFill="1" applyBorder="1" applyAlignment="1">
      <alignment vertical="center"/>
    </xf>
    <xf numFmtId="3" fontId="62" fillId="8" borderId="10" xfId="0" applyNumberFormat="1" applyFont="1" applyFill="1" applyBorder="1" applyAlignment="1">
      <alignment horizontal="right" vertical="center" wrapText="1"/>
    </xf>
    <xf numFmtId="177" fontId="62" fillId="8" borderId="98" xfId="0" applyNumberFormat="1" applyFont="1" applyFill="1" applyBorder="1" applyAlignment="1">
      <alignment horizontal="right" vertical="center" wrapText="1"/>
    </xf>
    <xf numFmtId="176" fontId="60" fillId="8" borderId="98" xfId="0" applyNumberFormat="1" applyFont="1" applyFill="1" applyBorder="1" applyAlignment="1">
      <alignment vertical="center" wrapText="1"/>
    </xf>
    <xf numFmtId="9" fontId="60" fillId="8" borderId="98" xfId="0" applyNumberFormat="1" applyFont="1" applyFill="1" applyBorder="1" applyAlignment="1">
      <alignment vertical="center" wrapText="1"/>
    </xf>
    <xf numFmtId="172" fontId="60" fillId="8" borderId="98" xfId="0" applyNumberFormat="1" applyFont="1" applyFill="1" applyBorder="1" applyAlignment="1">
      <alignment horizontal="right" vertical="center" wrapText="1"/>
    </xf>
    <xf numFmtId="3" fontId="60" fillId="8" borderId="98" xfId="0" applyNumberFormat="1" applyFont="1" applyFill="1" applyBorder="1" applyAlignment="1">
      <alignment vertical="center"/>
    </xf>
    <xf numFmtId="177" fontId="60" fillId="8" borderId="98" xfId="0" applyNumberFormat="1" applyFont="1" applyFill="1" applyBorder="1" applyAlignment="1">
      <alignment horizontal="right" vertical="center" wrapText="1"/>
    </xf>
    <xf numFmtId="0" fontId="59" fillId="8" borderId="10" xfId="0" applyFont="1" applyFill="1" applyBorder="1" applyAlignment="1">
      <alignment horizontal="left" vertical="top" wrapText="1"/>
    </xf>
    <xf numFmtId="0" fontId="59" fillId="8" borderId="101" xfId="0" applyFont="1" applyFill="1" applyBorder="1" applyAlignment="1">
      <alignment horizontal="center" vertical="center"/>
    </xf>
    <xf numFmtId="1" fontId="59" fillId="8" borderId="101" xfId="0" applyNumberFormat="1" applyFont="1" applyFill="1" applyBorder="1" applyAlignment="1">
      <alignment horizontal="center" vertical="center" wrapText="1"/>
    </xf>
    <xf numFmtId="0" fontId="59" fillId="8" borderId="101" xfId="0" applyFont="1" applyFill="1" applyBorder="1" applyAlignment="1">
      <alignment horizontal="center" vertical="center" wrapText="1"/>
    </xf>
    <xf numFmtId="172" fontId="59" fillId="8" borderId="104" xfId="0" applyNumberFormat="1" applyFont="1" applyFill="1" applyBorder="1" applyAlignment="1">
      <alignment horizontal="center" vertical="center" wrapText="1"/>
    </xf>
    <xf numFmtId="177" fontId="60" fillId="8" borderId="98" xfId="0" applyNumberFormat="1" applyFont="1" applyFill="1" applyBorder="1" applyAlignment="1">
      <alignment horizontal="right" vertical="center"/>
    </xf>
    <xf numFmtId="177" fontId="60" fillId="8" borderId="98" xfId="0" applyNumberFormat="1" applyFont="1" applyFill="1" applyBorder="1" applyAlignment="1">
      <alignment horizontal="center" vertical="center" wrapText="1"/>
    </xf>
    <xf numFmtId="0" fontId="59" fillId="8" borderId="14" xfId="0" applyFont="1" applyFill="1" applyBorder="1" applyAlignment="1">
      <alignment vertical="center" wrapText="1"/>
    </xf>
    <xf numFmtId="172" fontId="60" fillId="8" borderId="98" xfId="0" applyNumberFormat="1" applyFont="1" applyFill="1" applyBorder="1" applyAlignment="1">
      <alignment horizontal="right" vertical="center"/>
    </xf>
    <xf numFmtId="9" fontId="59" fillId="8" borderId="98" xfId="0" applyNumberFormat="1" applyFont="1" applyFill="1" applyBorder="1" applyAlignment="1">
      <alignment horizontal="left" vertical="center" wrapText="1"/>
    </xf>
    <xf numFmtId="49" fontId="63" fillId="8" borderId="98" xfId="0" applyNumberFormat="1" applyFont="1" applyFill="1" applyBorder="1" applyAlignment="1">
      <alignment horizontal="center" vertical="center"/>
    </xf>
    <xf numFmtId="49" fontId="63" fillId="8" borderId="98" xfId="0" applyNumberFormat="1" applyFont="1" applyFill="1" applyBorder="1" applyAlignment="1">
      <alignment horizontal="left" vertical="center"/>
    </xf>
    <xf numFmtId="0" fontId="63" fillId="8" borderId="98" xfId="0" applyFont="1" applyFill="1" applyBorder="1" applyAlignment="1">
      <alignment horizontal="left" vertical="center"/>
    </xf>
    <xf numFmtId="3" fontId="63" fillId="8" borderId="98" xfId="0" applyNumberFormat="1" applyFont="1" applyFill="1" applyBorder="1" applyAlignment="1">
      <alignment horizontal="center" vertical="center" wrapText="1"/>
    </xf>
    <xf numFmtId="0" fontId="63" fillId="8" borderId="98" xfId="0" applyFont="1" applyFill="1" applyBorder="1" applyAlignment="1">
      <alignment vertical="center" wrapText="1"/>
    </xf>
    <xf numFmtId="3" fontId="63" fillId="8" borderId="98" xfId="0" applyNumberFormat="1" applyFont="1" applyFill="1" applyBorder="1" applyAlignment="1">
      <alignment vertical="center"/>
    </xf>
    <xf numFmtId="172" fontId="63" fillId="8" borderId="98" xfId="0" applyNumberFormat="1" applyFont="1" applyFill="1" applyBorder="1" applyAlignment="1">
      <alignment horizontal="right" vertical="center" wrapText="1"/>
    </xf>
    <xf numFmtId="0" fontId="63" fillId="8" borderId="10" xfId="0" applyFont="1" applyFill="1" applyBorder="1"/>
    <xf numFmtId="172" fontId="63" fillId="8" borderId="10" xfId="0" applyNumberFormat="1" applyFont="1" applyFill="1" applyBorder="1"/>
    <xf numFmtId="3" fontId="63" fillId="8" borderId="10" xfId="0" applyNumberFormat="1" applyFont="1" applyFill="1" applyBorder="1"/>
    <xf numFmtId="177" fontId="63" fillId="8" borderId="98" xfId="0" applyNumberFormat="1" applyFont="1" applyFill="1" applyBorder="1" applyAlignment="1">
      <alignment horizontal="right" vertical="center"/>
    </xf>
    <xf numFmtId="177" fontId="63" fillId="8" borderId="98" xfId="0" applyNumberFormat="1" applyFont="1" applyFill="1" applyBorder="1" applyAlignment="1">
      <alignment horizontal="right" vertical="center" wrapText="1"/>
    </xf>
    <xf numFmtId="0" fontId="63" fillId="8" borderId="10" xfId="0" applyFont="1" applyFill="1" applyBorder="1" applyAlignment="1">
      <alignment vertical="center" wrapText="1"/>
    </xf>
    <xf numFmtId="0" fontId="59" fillId="8" borderId="108" xfId="0" applyFont="1" applyFill="1" applyBorder="1" applyAlignment="1">
      <alignment horizontal="left" vertical="top" wrapText="1"/>
    </xf>
    <xf numFmtId="0" fontId="59" fillId="8" borderId="109" xfId="0" applyFont="1" applyFill="1" applyBorder="1" applyAlignment="1">
      <alignment horizontal="left" vertical="top" wrapText="1"/>
    </xf>
    <xf numFmtId="0" fontId="59" fillId="8" borderId="0" xfId="0" applyFont="1" applyFill="1" applyAlignment="1">
      <alignment horizontal="left" vertical="center"/>
    </xf>
    <xf numFmtId="0" fontId="59" fillId="8" borderId="0" xfId="0" applyFont="1" applyFill="1" applyAlignment="1">
      <alignment horizontal="center" vertical="center"/>
    </xf>
    <xf numFmtId="0" fontId="59" fillId="8" borderId="0" xfId="0" applyFont="1" applyFill="1" applyAlignment="1">
      <alignment horizontal="right" vertical="center"/>
    </xf>
    <xf numFmtId="1" fontId="59" fillId="8" borderId="0" xfId="0" applyNumberFormat="1" applyFont="1" applyFill="1" applyAlignment="1">
      <alignment horizontal="center" vertical="center"/>
    </xf>
    <xf numFmtId="0" fontId="110" fillId="8" borderId="0" xfId="0" applyFont="1" applyFill="1" applyAlignment="1">
      <alignment horizontal="center" vertical="center"/>
    </xf>
    <xf numFmtId="0" fontId="110" fillId="8" borderId="0" xfId="0" applyFont="1" applyFill="1" applyAlignment="1">
      <alignment vertical="top"/>
    </xf>
    <xf numFmtId="0" fontId="110" fillId="8" borderId="0" xfId="0" applyFont="1" applyFill="1" applyAlignment="1">
      <alignment horizontal="left" vertical="top"/>
    </xf>
    <xf numFmtId="0" fontId="133" fillId="8" borderId="0" xfId="0" applyFont="1" applyFill="1" applyAlignment="1">
      <alignment horizontal="center" vertical="center"/>
    </xf>
    <xf numFmtId="172" fontId="59" fillId="8" borderId="0" xfId="0" applyNumberFormat="1" applyFont="1" applyFill="1" applyAlignment="1">
      <alignment horizontal="center" vertical="center"/>
    </xf>
    <xf numFmtId="3" fontId="59" fillId="8" borderId="0" xfId="0" applyNumberFormat="1" applyFont="1" applyFill="1" applyAlignment="1">
      <alignment vertical="center"/>
    </xf>
    <xf numFmtId="10" fontId="59" fillId="8" borderId="0" xfId="0" applyNumberFormat="1" applyFont="1" applyFill="1" applyAlignment="1">
      <alignment vertical="center"/>
    </xf>
    <xf numFmtId="0" fontId="59" fillId="8" borderId="0" xfId="0" applyFont="1" applyFill="1" applyAlignment="1">
      <alignment horizontal="center"/>
    </xf>
    <xf numFmtId="0" fontId="59" fillId="8" borderId="0" xfId="0" applyFont="1" applyFill="1" applyAlignment="1">
      <alignment vertical="top" wrapText="1"/>
    </xf>
    <xf numFmtId="0" fontId="59" fillId="8" borderId="0" xfId="0" applyFont="1" applyFill="1" applyAlignment="1">
      <alignment vertical="top"/>
    </xf>
    <xf numFmtId="0" fontId="59" fillId="8" borderId="0" xfId="0" applyFont="1" applyFill="1" applyAlignment="1">
      <alignment horizontal="center" vertical="top"/>
    </xf>
    <xf numFmtId="0" fontId="59" fillId="8" borderId="0" xfId="0" applyFont="1" applyFill="1"/>
    <xf numFmtId="0" fontId="134" fillId="8" borderId="0" xfId="0" applyFont="1" applyFill="1" applyAlignment="1">
      <alignment horizontal="left" vertical="center"/>
    </xf>
    <xf numFmtId="172" fontId="59" fillId="8" borderId="0" xfId="0" applyNumberFormat="1" applyFont="1" applyFill="1" applyAlignment="1">
      <alignment horizontal="right" vertical="center"/>
    </xf>
    <xf numFmtId="1" fontId="75" fillId="8" borderId="0" xfId="0" applyNumberFormat="1" applyFont="1" applyFill="1" applyAlignment="1">
      <alignment horizontal="center" vertical="center"/>
    </xf>
    <xf numFmtId="172" fontId="59" fillId="8" borderId="0" xfId="0" applyNumberFormat="1" applyFont="1" applyFill="1" applyAlignment="1">
      <alignment horizontal="right" vertical="center" wrapText="1"/>
    </xf>
    <xf numFmtId="172" fontId="59" fillId="8" borderId="0" xfId="0" applyNumberFormat="1" applyFont="1" applyFill="1" applyAlignment="1">
      <alignment vertical="center"/>
    </xf>
    <xf numFmtId="0" fontId="59" fillId="8" borderId="0" xfId="0" applyFont="1" applyFill="1" applyAlignment="1">
      <alignment vertical="center" wrapText="1"/>
    </xf>
    <xf numFmtId="0" fontId="62" fillId="8" borderId="0" xfId="0" applyFont="1" applyFill="1" applyAlignment="1">
      <alignment horizontal="center" vertical="center"/>
    </xf>
    <xf numFmtId="0" fontId="62" fillId="8" borderId="0" xfId="0" applyFont="1" applyFill="1" applyAlignment="1">
      <alignment vertical="center"/>
    </xf>
    <xf numFmtId="0" fontId="62" fillId="8" borderId="0" xfId="0" applyFont="1" applyFill="1" applyAlignment="1">
      <alignment vertical="top"/>
    </xf>
    <xf numFmtId="0" fontId="62" fillId="8" borderId="0" xfId="0" applyFont="1" applyFill="1" applyAlignment="1">
      <alignment horizontal="center" vertical="top"/>
    </xf>
    <xf numFmtId="0" fontId="62" fillId="8" borderId="0" xfId="0" applyFont="1" applyFill="1" applyAlignment="1">
      <alignment horizontal="left" vertical="center"/>
    </xf>
    <xf numFmtId="3" fontId="62" fillId="8" borderId="0" xfId="0" applyNumberFormat="1" applyFont="1" applyFill="1" applyAlignment="1">
      <alignment vertical="center"/>
    </xf>
    <xf numFmtId="3" fontId="60" fillId="8" borderId="0" xfId="0" applyNumberFormat="1" applyFont="1" applyFill="1" applyAlignment="1">
      <alignment vertical="center"/>
    </xf>
    <xf numFmtId="0" fontId="62" fillId="8" borderId="0" xfId="0" applyFont="1" applyFill="1" applyAlignment="1">
      <alignment vertical="center" wrapText="1"/>
    </xf>
    <xf numFmtId="10" fontId="62" fillId="8" borderId="0" xfId="0" applyNumberFormat="1" applyFont="1" applyFill="1" applyAlignment="1">
      <alignment horizontal="left" vertical="center"/>
    </xf>
    <xf numFmtId="3" fontId="78" fillId="8" borderId="0" xfId="0" applyNumberFormat="1" applyFont="1" applyFill="1" applyAlignment="1">
      <alignment vertical="center"/>
    </xf>
    <xf numFmtId="172" fontId="78" fillId="8" borderId="0" xfId="0" applyNumberFormat="1" applyFont="1" applyFill="1" applyAlignment="1">
      <alignment horizontal="right" vertical="center" wrapText="1"/>
    </xf>
    <xf numFmtId="172" fontId="78" fillId="8" borderId="0" xfId="0" applyNumberFormat="1" applyFont="1" applyFill="1" applyAlignment="1">
      <alignment vertical="center"/>
    </xf>
    <xf numFmtId="10" fontId="59" fillId="8" borderId="0" xfId="0" applyNumberFormat="1" applyFont="1" applyFill="1" applyAlignment="1">
      <alignment horizontal="left" vertical="center"/>
    </xf>
    <xf numFmtId="204" fontId="131" fillId="8" borderId="0" xfId="0" applyNumberFormat="1" applyFont="1" applyFill="1"/>
    <xf numFmtId="187" fontId="59" fillId="8" borderId="0" xfId="0" applyNumberFormat="1" applyFont="1" applyFill="1" applyAlignment="1">
      <alignment vertical="center"/>
    </xf>
    <xf numFmtId="187" fontId="62" fillId="8" borderId="0" xfId="0" applyNumberFormat="1" applyFont="1" applyFill="1" applyAlignment="1">
      <alignment vertical="center"/>
    </xf>
    <xf numFmtId="0" fontId="4" fillId="0" borderId="110" xfId="45" applyFont="1" applyBorder="1" applyAlignment="1">
      <alignment horizontal="center" vertical="center" wrapText="1"/>
    </xf>
    <xf numFmtId="0" fontId="6" fillId="0" borderId="110" xfId="45" applyFont="1" applyBorder="1" applyAlignment="1">
      <alignment horizontal="center" vertical="center" wrapText="1"/>
    </xf>
    <xf numFmtId="0" fontId="6" fillId="0" borderId="110" xfId="45" applyFont="1" applyBorder="1" applyAlignment="1">
      <alignment vertical="center" wrapText="1"/>
    </xf>
    <xf numFmtId="0" fontId="90" fillId="0" borderId="110" xfId="45" applyFont="1" applyBorder="1" applyAlignment="1">
      <alignment horizontal="center" vertical="center" wrapText="1"/>
    </xf>
    <xf numFmtId="3" fontId="12" fillId="0" borderId="110" xfId="38" applyNumberFormat="1" applyFont="1" applyBorder="1" applyAlignment="1">
      <alignment vertical="center"/>
    </xf>
    <xf numFmtId="0" fontId="12" fillId="0" borderId="110" xfId="38" applyFont="1" applyBorder="1" applyAlignment="1">
      <alignment vertical="center"/>
    </xf>
    <xf numFmtId="3" fontId="12" fillId="0" borderId="110" xfId="38" applyNumberFormat="1" applyFont="1" applyBorder="1" applyAlignment="1">
      <alignment horizontal="center" vertical="center"/>
    </xf>
    <xf numFmtId="0" fontId="12" fillId="0" borderId="110" xfId="38" applyFont="1" applyBorder="1" applyAlignment="1">
      <alignment horizontal="center" vertical="center"/>
    </xf>
    <xf numFmtId="3" fontId="39" fillId="0" borderId="110" xfId="0" applyNumberFormat="1" applyFont="1" applyBorder="1" applyAlignment="1">
      <alignment horizontal="center" vertical="center" wrapText="1"/>
    </xf>
    <xf numFmtId="0" fontId="39" fillId="0" borderId="110" xfId="0" applyFont="1" applyBorder="1" applyAlignment="1">
      <alignment horizontal="center" vertical="center" wrapText="1"/>
    </xf>
    <xf numFmtId="0" fontId="39" fillId="0" borderId="110" xfId="0" applyFont="1" applyBorder="1" applyAlignment="1">
      <alignment vertical="center"/>
    </xf>
    <xf numFmtId="0" fontId="0" fillId="0" borderId="110" xfId="0" applyBorder="1"/>
    <xf numFmtId="14" fontId="25" fillId="0" borderId="110" xfId="38" applyNumberFormat="1" applyFont="1" applyBorder="1" applyAlignment="1">
      <alignment horizontal="left" vertical="center" wrapText="1"/>
    </xf>
    <xf numFmtId="0" fontId="25" fillId="0" borderId="110" xfId="38" applyFont="1" applyBorder="1" applyAlignment="1">
      <alignment vertical="center"/>
    </xf>
    <xf numFmtId="0" fontId="2" fillId="0" borderId="110" xfId="45" applyFont="1" applyBorder="1" applyAlignment="1">
      <alignment horizontal="center" vertical="center" wrapText="1"/>
    </xf>
    <xf numFmtId="0" fontId="67" fillId="0" borderId="110" xfId="45" applyFont="1" applyBorder="1" applyAlignment="1">
      <alignment horizontal="center" vertical="center" wrapText="1"/>
    </xf>
    <xf numFmtId="0" fontId="67" fillId="0" borderId="110" xfId="45" applyFont="1" applyBorder="1" applyAlignment="1">
      <alignment vertical="center" wrapText="1"/>
    </xf>
    <xf numFmtId="0" fontId="25" fillId="0" borderId="110" xfId="45" applyFont="1" applyBorder="1" applyAlignment="1">
      <alignment horizontal="center" vertical="center" wrapText="1"/>
    </xf>
    <xf numFmtId="0" fontId="2" fillId="0" borderId="110" xfId="45" applyFont="1" applyBorder="1" applyAlignment="1">
      <alignment vertical="center" wrapText="1"/>
    </xf>
    <xf numFmtId="3" fontId="12" fillId="0" borderId="110" xfId="38" applyNumberFormat="1" applyFont="1" applyBorder="1" applyAlignment="1">
      <alignment horizontal="left" vertical="center" wrapText="1"/>
    </xf>
    <xf numFmtId="0" fontId="12" fillId="0" borderId="110" xfId="38" applyFont="1" applyBorder="1" applyAlignment="1">
      <alignment vertical="center" wrapText="1"/>
    </xf>
    <xf numFmtId="14" fontId="39" fillId="0" borderId="110" xfId="0" applyNumberFormat="1" applyFont="1" applyBorder="1" applyAlignment="1">
      <alignment horizontal="center" vertical="center" wrapText="1"/>
    </xf>
    <xf numFmtId="0" fontId="39" fillId="0" borderId="110" xfId="0" applyFont="1" applyBorder="1" applyAlignment="1">
      <alignment vertical="center" wrapText="1"/>
    </xf>
    <xf numFmtId="14" fontId="25" fillId="0" borderId="110" xfId="38" applyNumberFormat="1" applyFont="1" applyBorder="1" applyAlignment="1">
      <alignment horizontal="right" vertical="center" wrapText="1"/>
    </xf>
    <xf numFmtId="0" fontId="25" fillId="0" borderId="110" xfId="38" applyFont="1" applyBorder="1" applyAlignment="1">
      <alignment vertical="center" wrapText="1"/>
    </xf>
    <xf numFmtId="0" fontId="8" fillId="0" borderId="110" xfId="45" applyFont="1" applyBorder="1" applyAlignment="1">
      <alignment horizontal="center" vertical="center" wrapText="1"/>
    </xf>
    <xf numFmtId="0" fontId="8" fillId="0" borderId="110" xfId="45" applyFont="1" applyBorder="1" applyAlignment="1">
      <alignment vertical="center" wrapText="1"/>
    </xf>
    <xf numFmtId="3" fontId="25" fillId="0" borderId="110" xfId="45" applyNumberFormat="1" applyFont="1" applyBorder="1" applyAlignment="1">
      <alignment horizontal="center" vertical="center" wrapText="1"/>
    </xf>
    <xf numFmtId="172" fontId="25" fillId="0" borderId="110" xfId="45" applyNumberFormat="1" applyFont="1" applyBorder="1" applyAlignment="1">
      <alignment horizontal="center" vertical="center" wrapText="1"/>
    </xf>
    <xf numFmtId="3" fontId="31" fillId="0" borderId="110" xfId="0" applyNumberFormat="1" applyFont="1" applyBorder="1" applyAlignment="1">
      <alignment horizontal="center" vertical="center" wrapText="1"/>
    </xf>
    <xf numFmtId="14" fontId="31" fillId="0" borderId="110" xfId="0" applyNumberFormat="1" applyFont="1" applyBorder="1" applyAlignment="1">
      <alignment horizontal="center" vertical="center" wrapText="1"/>
    </xf>
    <xf numFmtId="0" fontId="31" fillId="0" borderId="110" xfId="0" applyFont="1" applyBorder="1" applyAlignment="1">
      <alignment horizontal="center" vertical="center" wrapText="1"/>
    </xf>
    <xf numFmtId="0" fontId="31" fillId="0" borderId="110" xfId="0" applyFont="1" applyBorder="1" applyAlignment="1">
      <alignment horizontal="center" vertical="center"/>
    </xf>
    <xf numFmtId="14" fontId="25" fillId="0" borderId="110" xfId="49" applyNumberFormat="1" applyFont="1" applyBorder="1" applyAlignment="1">
      <alignment horizontal="center" vertical="center" wrapText="1"/>
    </xf>
    <xf numFmtId="0" fontId="25" fillId="0" borderId="110" xfId="38" applyFont="1" applyBorder="1" applyAlignment="1">
      <alignment horizontal="center" vertical="center" wrapText="1"/>
    </xf>
    <xf numFmtId="172" fontId="25" fillId="0" borderId="110" xfId="65" applyNumberFormat="1" applyFont="1" applyFill="1" applyBorder="1" applyAlignment="1">
      <alignment horizontal="center" vertical="center" wrapText="1"/>
    </xf>
    <xf numFmtId="10" fontId="31" fillId="0" borderId="110" xfId="0" applyNumberFormat="1" applyFont="1" applyBorder="1" applyAlignment="1">
      <alignment horizontal="center" vertical="center" wrapText="1"/>
    </xf>
    <xf numFmtId="191" fontId="31" fillId="0" borderId="110" xfId="88" applyNumberFormat="1" applyFont="1" applyFill="1" applyBorder="1" applyAlignment="1">
      <alignment horizontal="center" vertical="center"/>
    </xf>
    <xf numFmtId="3" fontId="31" fillId="0" borderId="110" xfId="88" applyNumberFormat="1" applyFont="1" applyFill="1" applyBorder="1" applyAlignment="1">
      <alignment horizontal="center" vertical="center"/>
    </xf>
    <xf numFmtId="3" fontId="31" fillId="0" borderId="110" xfId="0" applyNumberFormat="1" applyFont="1" applyBorder="1" applyAlignment="1">
      <alignment horizontal="center" vertical="center"/>
    </xf>
    <xf numFmtId="172" fontId="25" fillId="0" borderId="110" xfId="69" applyNumberFormat="1" applyFont="1" applyFill="1" applyBorder="1" applyAlignment="1">
      <alignment horizontal="center" vertical="center" wrapText="1"/>
    </xf>
    <xf numFmtId="1" fontId="25" fillId="0" borderId="110" xfId="45" applyNumberFormat="1" applyFont="1" applyBorder="1" applyAlignment="1">
      <alignment horizontal="center" vertical="center" wrapText="1"/>
    </xf>
    <xf numFmtId="3" fontId="90" fillId="0" borderId="110" xfId="45" applyNumberFormat="1" applyFont="1" applyBorder="1" applyAlignment="1">
      <alignment horizontal="center" vertical="center" wrapText="1"/>
    </xf>
    <xf numFmtId="172" fontId="90" fillId="0" borderId="110" xfId="45" applyNumberFormat="1" applyFont="1" applyBorder="1" applyAlignment="1">
      <alignment horizontal="center" vertical="center" wrapText="1"/>
    </xf>
    <xf numFmtId="14" fontId="90" fillId="0" borderId="110" xfId="49" applyNumberFormat="1" applyFont="1" applyBorder="1" applyAlignment="1">
      <alignment horizontal="center" vertical="center" wrapText="1"/>
    </xf>
    <xf numFmtId="0" fontId="90" fillId="0" borderId="110" xfId="38" applyFont="1" applyBorder="1" applyAlignment="1">
      <alignment horizontal="center" vertical="center" wrapText="1"/>
    </xf>
    <xf numFmtId="9" fontId="31" fillId="0" borderId="110" xfId="0" applyNumberFormat="1" applyFont="1" applyBorder="1" applyAlignment="1">
      <alignment horizontal="center" vertical="center"/>
    </xf>
    <xf numFmtId="172" fontId="25" fillId="0" borderId="110" xfId="69" applyNumberFormat="1" applyFont="1" applyFill="1" applyBorder="1" applyAlignment="1">
      <alignment vertical="center" wrapText="1"/>
    </xf>
    <xf numFmtId="14" fontId="25" fillId="0" borderId="110" xfId="0" applyNumberFormat="1" applyFont="1" applyBorder="1" applyAlignment="1">
      <alignment horizontal="center" vertical="center"/>
    </xf>
    <xf numFmtId="0" fontId="25" fillId="0" borderId="110" xfId="0" applyFont="1" applyBorder="1" applyAlignment="1">
      <alignment horizontal="center" vertical="center"/>
    </xf>
    <xf numFmtId="172" fontId="31" fillId="0" borderId="110" xfId="0" applyNumberFormat="1" applyFont="1" applyBorder="1" applyAlignment="1">
      <alignment horizontal="center" vertical="center"/>
    </xf>
    <xf numFmtId="10" fontId="31" fillId="0" borderId="110" xfId="0" applyNumberFormat="1" applyFont="1" applyBorder="1" applyAlignment="1">
      <alignment horizontal="center" vertical="center"/>
    </xf>
    <xf numFmtId="2" fontId="25" fillId="0" borderId="110" xfId="45" applyNumberFormat="1" applyFont="1" applyBorder="1" applyAlignment="1">
      <alignment horizontal="center" vertical="center" wrapText="1"/>
    </xf>
    <xf numFmtId="191" fontId="31" fillId="0" borderId="110" xfId="0" applyNumberFormat="1" applyFont="1" applyBorder="1" applyAlignment="1">
      <alignment horizontal="center" vertical="center"/>
    </xf>
    <xf numFmtId="0" fontId="31" fillId="0" borderId="110" xfId="0" applyFont="1" applyBorder="1" applyAlignment="1">
      <alignment vertical="center" wrapText="1"/>
    </xf>
    <xf numFmtId="0" fontId="25" fillId="0" borderId="110" xfId="45" applyFont="1" applyBorder="1" applyAlignment="1">
      <alignment horizontal="center" vertical="center"/>
    </xf>
    <xf numFmtId="0" fontId="25" fillId="5" borderId="110" xfId="45" applyFont="1" applyFill="1" applyBorder="1" applyAlignment="1">
      <alignment horizontal="center" vertical="center" wrapText="1"/>
    </xf>
    <xf numFmtId="2" fontId="25" fillId="5" borderId="110" xfId="45" applyNumberFormat="1" applyFont="1" applyFill="1" applyBorder="1" applyAlignment="1">
      <alignment horizontal="center" vertical="center" wrapText="1"/>
    </xf>
    <xf numFmtId="172" fontId="25" fillId="5" borderId="110" xfId="45" applyNumberFormat="1" applyFont="1" applyFill="1" applyBorder="1" applyAlignment="1">
      <alignment horizontal="center" vertical="center" wrapText="1"/>
    </xf>
    <xf numFmtId="0" fontId="31" fillId="5" borderId="110" xfId="0" applyFont="1" applyFill="1" applyBorder="1" applyAlignment="1">
      <alignment horizontal="center" vertical="center"/>
    </xf>
    <xf numFmtId="172" fontId="31" fillId="5" borderId="110" xfId="0" applyNumberFormat="1" applyFont="1" applyFill="1" applyBorder="1" applyAlignment="1">
      <alignment horizontal="center" vertical="center"/>
    </xf>
    <xf numFmtId="172" fontId="25" fillId="5" borderId="110" xfId="69" applyNumberFormat="1" applyFont="1" applyFill="1" applyBorder="1" applyAlignment="1">
      <alignment horizontal="center" vertical="center" wrapText="1"/>
    </xf>
    <xf numFmtId="3" fontId="31" fillId="5" borderId="110" xfId="0" applyNumberFormat="1" applyFont="1" applyFill="1" applyBorder="1" applyAlignment="1">
      <alignment horizontal="center" vertical="center"/>
    </xf>
    <xf numFmtId="14" fontId="25" fillId="5" borderId="110" xfId="49" applyNumberFormat="1" applyFont="1" applyFill="1" applyBorder="1" applyAlignment="1">
      <alignment horizontal="center" vertical="center" wrapText="1"/>
    </xf>
    <xf numFmtId="0" fontId="31" fillId="5" borderId="110" xfId="0" applyFont="1" applyFill="1" applyBorder="1" applyAlignment="1">
      <alignment horizontal="center" vertical="center" wrapText="1"/>
    </xf>
    <xf numFmtId="0" fontId="25" fillId="5" borderId="110" xfId="38" applyFont="1" applyFill="1" applyBorder="1" applyAlignment="1">
      <alignment horizontal="center" vertical="center" wrapText="1"/>
    </xf>
    <xf numFmtId="185" fontId="25" fillId="0" borderId="110" xfId="45" applyNumberFormat="1" applyFont="1" applyBorder="1" applyAlignment="1">
      <alignment horizontal="center" vertical="center" wrapText="1"/>
    </xf>
    <xf numFmtId="175" fontId="25" fillId="0" borderId="110" xfId="45" applyNumberFormat="1" applyFont="1" applyBorder="1" applyAlignment="1">
      <alignment horizontal="center" vertical="center" wrapText="1"/>
    </xf>
    <xf numFmtId="14" fontId="25" fillId="0" borderId="110" xfId="65" applyNumberFormat="1" applyFont="1" applyFill="1" applyBorder="1" applyAlignment="1">
      <alignment horizontal="center" vertical="center" wrapText="1"/>
    </xf>
    <xf numFmtId="10" fontId="31" fillId="5" borderId="110" xfId="0" applyNumberFormat="1" applyFont="1" applyFill="1" applyBorder="1" applyAlignment="1">
      <alignment horizontal="center" vertical="center" wrapText="1"/>
    </xf>
    <xf numFmtId="3" fontId="31" fillId="0" borderId="110" xfId="63" applyNumberFormat="1" applyFont="1" applyFill="1" applyBorder="1" applyAlignment="1">
      <alignment horizontal="center" vertical="center"/>
    </xf>
    <xf numFmtId="191" fontId="31" fillId="0" borderId="110" xfId="63" applyNumberFormat="1" applyFont="1" applyFill="1" applyBorder="1" applyAlignment="1">
      <alignment horizontal="center" vertical="center"/>
    </xf>
    <xf numFmtId="172" fontId="0" fillId="0" borderId="0" xfId="0" applyNumberFormat="1"/>
    <xf numFmtId="0" fontId="25" fillId="0" borderId="0" xfId="38" applyFont="1" applyAlignment="1">
      <alignment vertical="center"/>
    </xf>
    <xf numFmtId="172" fontId="39" fillId="0" borderId="0" xfId="79" applyNumberFormat="1" applyFont="1" applyFill="1" applyAlignment="1">
      <alignment horizontal="right"/>
    </xf>
    <xf numFmtId="0" fontId="2" fillId="0" borderId="0" xfId="45" applyFont="1" applyAlignment="1">
      <alignment vertical="center"/>
    </xf>
    <xf numFmtId="0" fontId="30" fillId="0" borderId="0" xfId="0" applyFont="1" applyAlignment="1">
      <alignment horizontal="center" wrapText="1"/>
    </xf>
    <xf numFmtId="3" fontId="39" fillId="0" borderId="0" xfId="0" applyNumberFormat="1" applyFont="1" applyAlignment="1">
      <alignment horizontal="right" vertical="center"/>
    </xf>
    <xf numFmtId="0" fontId="31" fillId="0" borderId="111" xfId="43" applyFont="1" applyBorder="1" applyAlignment="1">
      <alignment horizontal="center" vertical="center" wrapText="1"/>
    </xf>
    <xf numFmtId="0" fontId="33" fillId="0" borderId="111" xfId="43" applyFont="1" applyBorder="1" applyAlignment="1">
      <alignment horizontal="center" vertical="center" wrapText="1"/>
    </xf>
    <xf numFmtId="0" fontId="32" fillId="0" borderId="111" xfId="43" applyFont="1" applyBorder="1" applyAlignment="1">
      <alignment horizontal="center" vertical="center" wrapText="1"/>
    </xf>
    <xf numFmtId="0" fontId="33" fillId="0" borderId="111" xfId="43" applyFont="1" applyBorder="1" applyAlignment="1">
      <alignment horizontal="left" vertical="center" wrapText="1"/>
    </xf>
    <xf numFmtId="0" fontId="31" fillId="0" borderId="111" xfId="43" applyFont="1" applyBorder="1" applyAlignment="1">
      <alignment horizontal="left" vertical="center" wrapText="1"/>
    </xf>
    <xf numFmtId="0" fontId="72" fillId="0" borderId="111" xfId="43" applyFont="1" applyBorder="1" applyAlignment="1">
      <alignment horizontal="center" vertical="center"/>
    </xf>
    <xf numFmtId="0" fontId="31" fillId="0" borderId="111" xfId="43" applyFont="1" applyBorder="1" applyAlignment="1">
      <alignment horizontal="left" vertical="center"/>
    </xf>
    <xf numFmtId="0" fontId="31" fillId="0" borderId="111" xfId="43" applyFont="1" applyBorder="1" applyAlignment="1">
      <alignment horizontal="center" vertical="center"/>
    </xf>
    <xf numFmtId="3" fontId="39" fillId="0" borderId="111" xfId="43" applyNumberFormat="1" applyFont="1" applyBorder="1" applyAlignment="1">
      <alignment horizontal="center" vertical="center" wrapText="1"/>
    </xf>
    <xf numFmtId="9" fontId="39" fillId="0" borderId="111" xfId="65" applyFont="1" applyFill="1" applyBorder="1" applyAlignment="1">
      <alignment horizontal="center" vertical="center" wrapText="1"/>
    </xf>
    <xf numFmtId="9" fontId="39" fillId="0" borderId="111" xfId="65" applyFont="1" applyFill="1" applyBorder="1" applyAlignment="1">
      <alignment horizontal="right" vertical="center" wrapText="1"/>
    </xf>
    <xf numFmtId="0" fontId="39" fillId="0" borderId="111" xfId="43" applyFont="1" applyBorder="1" applyAlignment="1">
      <alignment vertical="center"/>
    </xf>
    <xf numFmtId="0" fontId="39" fillId="0" borderId="111" xfId="43" applyFont="1" applyBorder="1" applyAlignment="1">
      <alignment horizontal="center" vertical="center"/>
    </xf>
    <xf numFmtId="9" fontId="8" fillId="0" borderId="111" xfId="65" applyFont="1" applyFill="1" applyBorder="1" applyAlignment="1">
      <alignment horizontal="center" vertical="center"/>
    </xf>
    <xf numFmtId="0" fontId="39" fillId="0" borderId="111" xfId="43" applyFont="1" applyBorder="1" applyAlignment="1">
      <alignment vertical="top"/>
    </xf>
    <xf numFmtId="0" fontId="32" fillId="0" borderId="110" xfId="43" applyFont="1" applyBorder="1" applyAlignment="1">
      <alignment horizontal="center" vertical="center"/>
    </xf>
    <xf numFmtId="0" fontId="32" fillId="0" borderId="110" xfId="43" applyFont="1" applyBorder="1" applyAlignment="1">
      <alignment horizontal="center" vertical="center" wrapText="1"/>
    </xf>
    <xf numFmtId="0" fontId="32" fillId="0" borderId="110" xfId="43" applyFont="1" applyBorder="1" applyAlignment="1">
      <alignment horizontal="left" vertical="center" wrapText="1"/>
    </xf>
    <xf numFmtId="0" fontId="55" fillId="0" borderId="110" xfId="43" applyFont="1" applyBorder="1" applyAlignment="1">
      <alignment horizontal="center" vertical="center"/>
    </xf>
    <xf numFmtId="0" fontId="32" fillId="0" borderId="110" xfId="43" applyFont="1" applyBorder="1" applyAlignment="1">
      <alignment horizontal="left" vertical="center"/>
    </xf>
    <xf numFmtId="3" fontId="39" fillId="0" borderId="110" xfId="43" applyNumberFormat="1" applyFont="1" applyBorder="1" applyAlignment="1">
      <alignment horizontal="center" vertical="center" wrapText="1"/>
    </xf>
    <xf numFmtId="9" fontId="39" fillId="0" borderId="110" xfId="65" applyFont="1" applyFill="1" applyBorder="1" applyAlignment="1">
      <alignment horizontal="center" vertical="center" wrapText="1"/>
    </xf>
    <xf numFmtId="9" fontId="39" fillId="0" borderId="110" xfId="65" applyFont="1" applyFill="1" applyBorder="1" applyAlignment="1">
      <alignment horizontal="left" vertical="center" wrapText="1"/>
    </xf>
    <xf numFmtId="0" fontId="39" fillId="0" borderId="110" xfId="43" applyFont="1" applyBorder="1" applyAlignment="1">
      <alignment vertical="center"/>
    </xf>
    <xf numFmtId="0" fontId="39" fillId="0" borderId="110" xfId="43" applyFont="1" applyBorder="1" applyAlignment="1">
      <alignment horizontal="center" vertical="center"/>
    </xf>
    <xf numFmtId="9" fontId="8" fillId="0" borderId="110" xfId="65" applyFont="1" applyFill="1" applyBorder="1" applyAlignment="1">
      <alignment horizontal="center" vertical="center"/>
    </xf>
    <xf numFmtId="0" fontId="39" fillId="0" borderId="110" xfId="43" applyFont="1" applyBorder="1" applyAlignment="1">
      <alignment vertical="top"/>
    </xf>
    <xf numFmtId="0" fontId="31" fillId="0" borderId="110" xfId="43" applyFont="1" applyBorder="1" applyAlignment="1">
      <alignment horizontal="center" vertical="center"/>
    </xf>
    <xf numFmtId="0" fontId="30" fillId="0" borderId="110" xfId="43" applyFont="1" applyBorder="1" applyAlignment="1">
      <alignment horizontal="center" vertical="center" wrapText="1"/>
    </xf>
    <xf numFmtId="0" fontId="30" fillId="0" borderId="110" xfId="43" applyFont="1" applyBorder="1" applyAlignment="1">
      <alignment horizontal="left" vertical="center" wrapText="1"/>
    </xf>
    <xf numFmtId="0" fontId="31" fillId="0" borderId="110" xfId="43" applyFont="1" applyBorder="1" applyAlignment="1">
      <alignment horizontal="left" vertical="center" wrapText="1"/>
    </xf>
    <xf numFmtId="0" fontId="72" fillId="0" borderId="110" xfId="43" applyFont="1" applyBorder="1" applyAlignment="1">
      <alignment horizontal="center" vertical="center"/>
    </xf>
    <xf numFmtId="0" fontId="31" fillId="0" borderId="110" xfId="43" applyFont="1" applyBorder="1" applyAlignment="1">
      <alignment horizontal="left" vertical="center"/>
    </xf>
    <xf numFmtId="0" fontId="31" fillId="0" borderId="110" xfId="43" applyFont="1" applyBorder="1" applyAlignment="1">
      <alignment horizontal="center" vertical="center" wrapText="1"/>
    </xf>
    <xf numFmtId="49" fontId="39" fillId="0" borderId="110" xfId="43" applyNumberFormat="1" applyFont="1" applyBorder="1" applyAlignment="1">
      <alignment horizontal="center" vertical="center" wrapText="1"/>
    </xf>
    <xf numFmtId="0" fontId="39" fillId="0" borderId="110" xfId="43" applyFont="1" applyBorder="1" applyAlignment="1">
      <alignment horizontal="center" vertical="center" wrapText="1"/>
    </xf>
    <xf numFmtId="0" fontId="39" fillId="0" borderId="110" xfId="43" applyFont="1" applyBorder="1" applyAlignment="1">
      <alignment horizontal="left" vertical="center" wrapText="1"/>
    </xf>
    <xf numFmtId="3" fontId="25" fillId="0" borderId="110" xfId="39" applyNumberFormat="1" applyFont="1" applyBorder="1" applyAlignment="1">
      <alignment horizontal="center" vertical="center"/>
    </xf>
    <xf numFmtId="3" fontId="31" fillId="0" borderId="110" xfId="43" applyNumberFormat="1" applyFont="1" applyBorder="1" applyAlignment="1">
      <alignment horizontal="center" vertical="center"/>
    </xf>
    <xf numFmtId="9" fontId="39" fillId="0" borderId="110" xfId="65" applyFont="1" applyFill="1" applyBorder="1" applyAlignment="1">
      <alignment horizontal="right" vertical="center" wrapText="1"/>
    </xf>
    <xf numFmtId="178" fontId="39" fillId="0" borderId="110" xfId="76" applyFont="1" applyFill="1" applyBorder="1" applyAlignment="1">
      <alignment horizontal="center" vertical="center" wrapText="1"/>
    </xf>
    <xf numFmtId="0" fontId="36" fillId="0" borderId="110" xfId="43" applyFont="1" applyBorder="1" applyAlignment="1">
      <alignment horizontal="center" vertical="center"/>
    </xf>
    <xf numFmtId="1" fontId="31" fillId="0" borderId="110" xfId="43" applyNumberFormat="1" applyFont="1" applyBorder="1" applyAlignment="1">
      <alignment horizontal="center" vertical="center" wrapText="1"/>
    </xf>
    <xf numFmtId="0" fontId="72" fillId="0" borderId="110" xfId="43" applyFont="1" applyBorder="1" applyAlignment="1">
      <alignment horizontal="center" vertical="center" wrapText="1"/>
    </xf>
    <xf numFmtId="0" fontId="36" fillId="0" borderId="110" xfId="43" applyFont="1" applyBorder="1" applyAlignment="1">
      <alignment horizontal="left" vertical="center" wrapText="1"/>
    </xf>
    <xf numFmtId="3" fontId="31" fillId="0" borderId="110" xfId="43" applyNumberFormat="1" applyFont="1" applyBorder="1" applyAlignment="1">
      <alignment horizontal="center" vertical="center" wrapText="1"/>
    </xf>
    <xf numFmtId="0" fontId="36" fillId="0" borderId="110" xfId="43" applyFont="1" applyBorder="1" applyAlignment="1">
      <alignment horizontal="center" vertical="center" wrapText="1"/>
    </xf>
    <xf numFmtId="9" fontId="31" fillId="0" borderId="110" xfId="43" applyNumberFormat="1" applyFont="1" applyBorder="1" applyAlignment="1">
      <alignment horizontal="center" vertical="center" wrapText="1"/>
    </xf>
    <xf numFmtId="9" fontId="31" fillId="0" borderId="110" xfId="65" applyFont="1" applyFill="1" applyBorder="1" applyAlignment="1">
      <alignment horizontal="center" vertical="center" wrapText="1"/>
    </xf>
    <xf numFmtId="3" fontId="31" fillId="0" borderId="110" xfId="76" applyNumberFormat="1" applyFont="1" applyFill="1" applyBorder="1" applyAlignment="1">
      <alignment vertical="center" wrapText="1"/>
    </xf>
    <xf numFmtId="9" fontId="25" fillId="0" borderId="110" xfId="65" applyFont="1" applyFill="1" applyBorder="1" applyAlignment="1">
      <alignment horizontal="center" vertical="center" wrapText="1"/>
    </xf>
    <xf numFmtId="194" fontId="31" fillId="0" borderId="110" xfId="43" applyNumberFormat="1" applyFont="1" applyBorder="1" applyAlignment="1">
      <alignment horizontal="center" vertical="center" wrapText="1"/>
    </xf>
    <xf numFmtId="0" fontId="31" fillId="0" borderId="110" xfId="43" applyFont="1" applyBorder="1" applyAlignment="1">
      <alignment vertical="top" wrapText="1"/>
    </xf>
    <xf numFmtId="194" fontId="31" fillId="0" borderId="110" xfId="43" applyNumberFormat="1" applyFont="1" applyBorder="1" applyAlignment="1">
      <alignment horizontal="left" vertical="center" wrapText="1"/>
    </xf>
    <xf numFmtId="3" fontId="25" fillId="0" borderId="110" xfId="43" applyNumberFormat="1" applyFont="1" applyBorder="1" applyAlignment="1">
      <alignment horizontal="center" vertical="center" wrapText="1"/>
    </xf>
    <xf numFmtId="3" fontId="31" fillId="0" borderId="110" xfId="76" applyNumberFormat="1" applyFont="1" applyFill="1" applyBorder="1" applyAlignment="1">
      <alignment horizontal="right" vertical="center" wrapText="1"/>
    </xf>
    <xf numFmtId="3" fontId="31" fillId="0" borderId="110" xfId="76" applyNumberFormat="1" applyFont="1" applyFill="1" applyBorder="1" applyAlignment="1">
      <alignment horizontal="center" vertical="center" wrapText="1"/>
    </xf>
    <xf numFmtId="0" fontId="31" fillId="0" borderId="110" xfId="43" applyFont="1" applyBorder="1" applyAlignment="1">
      <alignment horizontal="left" vertical="top" wrapText="1"/>
    </xf>
    <xf numFmtId="1" fontId="31" fillId="15" borderId="110" xfId="43" applyNumberFormat="1" applyFont="1" applyFill="1" applyBorder="1" applyAlignment="1">
      <alignment horizontal="center" vertical="center" wrapText="1"/>
    </xf>
    <xf numFmtId="0" fontId="31" fillId="15" borderId="110" xfId="43" applyFont="1" applyFill="1" applyBorder="1" applyAlignment="1">
      <alignment horizontal="left" vertical="center" wrapText="1"/>
    </xf>
    <xf numFmtId="0" fontId="72" fillId="15" borderId="110" xfId="43" applyFont="1" applyFill="1" applyBorder="1" applyAlignment="1">
      <alignment horizontal="center" vertical="center" wrapText="1"/>
    </xf>
    <xf numFmtId="3" fontId="25" fillId="15" borderId="110" xfId="43" applyNumberFormat="1" applyFont="1" applyFill="1" applyBorder="1" applyAlignment="1">
      <alignment horizontal="center" vertical="center" wrapText="1"/>
    </xf>
    <xf numFmtId="0" fontId="31" fillId="15" borderId="110" xfId="43" applyFont="1" applyFill="1" applyBorder="1" applyAlignment="1">
      <alignment horizontal="center" vertical="center" wrapText="1"/>
    </xf>
    <xf numFmtId="3" fontId="31" fillId="15" borderId="110" xfId="43" applyNumberFormat="1" applyFont="1" applyFill="1" applyBorder="1" applyAlignment="1">
      <alignment horizontal="center" vertical="center" wrapText="1"/>
    </xf>
    <xf numFmtId="9" fontId="31" fillId="15" borderId="110" xfId="43" applyNumberFormat="1" applyFont="1" applyFill="1" applyBorder="1" applyAlignment="1">
      <alignment horizontal="center" vertical="center" wrapText="1"/>
    </xf>
    <xf numFmtId="9" fontId="31" fillId="15" borderId="110" xfId="65" applyFont="1" applyFill="1" applyBorder="1" applyAlignment="1">
      <alignment horizontal="center" vertical="center" wrapText="1"/>
    </xf>
    <xf numFmtId="3" fontId="31" fillId="15" borderId="110" xfId="76" applyNumberFormat="1" applyFont="1" applyFill="1" applyBorder="1" applyAlignment="1">
      <alignment vertical="center" wrapText="1"/>
    </xf>
    <xf numFmtId="3" fontId="31" fillId="15" borderId="110" xfId="76" applyNumberFormat="1" applyFont="1" applyFill="1" applyBorder="1" applyAlignment="1">
      <alignment horizontal="right" vertical="center" wrapText="1"/>
    </xf>
    <xf numFmtId="9" fontId="25" fillId="15" borderId="110" xfId="65" applyFont="1" applyFill="1" applyBorder="1" applyAlignment="1">
      <alignment horizontal="center" vertical="center" wrapText="1"/>
    </xf>
    <xf numFmtId="194" fontId="31" fillId="15" borderId="110" xfId="43" applyNumberFormat="1" applyFont="1" applyFill="1" applyBorder="1" applyAlignment="1">
      <alignment horizontal="center" vertical="center" wrapText="1"/>
    </xf>
    <xf numFmtId="0" fontId="36" fillId="15" borderId="110" xfId="0" applyFont="1" applyFill="1" applyBorder="1" applyAlignment="1">
      <alignment horizontal="left" vertical="center" wrapText="1"/>
    </xf>
    <xf numFmtId="1" fontId="39" fillId="0" borderId="110" xfId="43" applyNumberFormat="1" applyFont="1" applyBorder="1" applyAlignment="1">
      <alignment horizontal="center" vertical="center" wrapText="1"/>
    </xf>
    <xf numFmtId="0" fontId="106" fillId="0" borderId="110" xfId="43" applyFont="1" applyBorder="1" applyAlignment="1">
      <alignment horizontal="center" vertical="center" wrapText="1"/>
    </xf>
    <xf numFmtId="9" fontId="39" fillId="0" borderId="110" xfId="65" applyFont="1" applyFill="1" applyBorder="1" applyAlignment="1">
      <alignment vertical="center" wrapText="1"/>
    </xf>
    <xf numFmtId="3" fontId="39" fillId="0" borderId="110" xfId="76" applyNumberFormat="1" applyFont="1" applyFill="1" applyBorder="1" applyAlignment="1">
      <alignment vertical="center" wrapText="1"/>
    </xf>
    <xf numFmtId="0" fontId="39" fillId="0" borderId="110" xfId="43" applyFont="1" applyBorder="1" applyAlignment="1">
      <alignment vertical="center" wrapText="1"/>
    </xf>
    <xf numFmtId="9" fontId="8" fillId="0" borderId="110" xfId="65" applyFont="1" applyFill="1" applyBorder="1" applyAlignment="1">
      <alignment horizontal="center" vertical="center" wrapText="1"/>
    </xf>
    <xf numFmtId="178" fontId="31" fillId="0" borderId="110" xfId="76" applyFont="1" applyFill="1" applyBorder="1" applyAlignment="1">
      <alignment horizontal="center" vertical="center" wrapText="1"/>
    </xf>
    <xf numFmtId="0" fontId="39" fillId="0" borderId="110" xfId="43" applyFont="1" applyBorder="1" applyAlignment="1">
      <alignment vertical="top" wrapText="1"/>
    </xf>
    <xf numFmtId="0" fontId="31" fillId="0" borderId="110" xfId="43" applyFont="1" applyBorder="1" applyAlignment="1">
      <alignment vertical="center" wrapText="1"/>
    </xf>
    <xf numFmtId="0" fontId="36" fillId="0" borderId="110" xfId="43" applyFont="1" applyBorder="1" applyAlignment="1">
      <alignment vertical="center" wrapText="1"/>
    </xf>
    <xf numFmtId="0" fontId="31" fillId="15" borderId="110" xfId="43" applyFont="1" applyFill="1" applyBorder="1" applyAlignment="1">
      <alignment vertical="center" wrapText="1"/>
    </xf>
    <xf numFmtId="9" fontId="39" fillId="15" borderId="110" xfId="65" applyFont="1" applyFill="1" applyBorder="1" applyAlignment="1">
      <alignment horizontal="center" vertical="center" wrapText="1"/>
    </xf>
    <xf numFmtId="0" fontId="31" fillId="15" borderId="110" xfId="43" applyFont="1" applyFill="1" applyBorder="1" applyAlignment="1">
      <alignment vertical="top" wrapText="1"/>
    </xf>
    <xf numFmtId="0" fontId="33" fillId="0" borderId="110" xfId="43" applyFont="1" applyBorder="1" applyAlignment="1">
      <alignment horizontal="center" vertical="center" wrapText="1"/>
    </xf>
    <xf numFmtId="0" fontId="33" fillId="0" borderId="110" xfId="43" applyFont="1" applyBorder="1" applyAlignment="1">
      <alignment horizontal="left" vertical="center" wrapText="1"/>
    </xf>
    <xf numFmtId="0" fontId="55" fillId="0" borderId="110" xfId="43" applyFont="1" applyBorder="1" applyAlignment="1">
      <alignment horizontal="center" vertical="center" wrapText="1"/>
    </xf>
    <xf numFmtId="0" fontId="87" fillId="0" borderId="110" xfId="43" applyFont="1" applyBorder="1" applyAlignment="1">
      <alignment horizontal="center" vertical="center" wrapText="1"/>
    </xf>
    <xf numFmtId="3" fontId="39" fillId="0" borderId="110" xfId="43" applyNumberFormat="1" applyFont="1" applyBorder="1" applyAlignment="1">
      <alignment vertical="center"/>
    </xf>
    <xf numFmtId="3" fontId="67" fillId="0" borderId="110" xfId="39" applyNumberFormat="1" applyFont="1" applyBorder="1" applyAlignment="1">
      <alignment horizontal="center" vertical="center" wrapText="1"/>
    </xf>
    <xf numFmtId="3" fontId="31" fillId="0" borderId="110" xfId="76" applyNumberFormat="1" applyFont="1" applyFill="1" applyBorder="1" applyAlignment="1">
      <alignment horizontal="right" vertical="center"/>
    </xf>
    <xf numFmtId="0" fontId="36" fillId="15" borderId="110" xfId="43" applyFont="1" applyFill="1" applyBorder="1" applyAlignment="1">
      <alignment horizontal="left" vertical="center" wrapText="1"/>
    </xf>
    <xf numFmtId="3" fontId="31" fillId="15" borderId="110" xfId="76" applyNumberFormat="1" applyFont="1" applyFill="1" applyBorder="1" applyAlignment="1">
      <alignment horizontal="right" vertical="center"/>
    </xf>
    <xf numFmtId="3" fontId="31" fillId="15" borderId="110" xfId="43" applyNumberFormat="1" applyFont="1" applyFill="1" applyBorder="1" applyAlignment="1">
      <alignment horizontal="right" vertical="center" wrapText="1"/>
    </xf>
    <xf numFmtId="0" fontId="94" fillId="0" borderId="110" xfId="43" applyFont="1" applyBorder="1" applyAlignment="1">
      <alignment horizontal="left" vertical="center" wrapText="1"/>
    </xf>
    <xf numFmtId="3" fontId="31" fillId="15" borderId="110" xfId="76" applyNumberFormat="1" applyFont="1" applyFill="1" applyBorder="1" applyAlignment="1">
      <alignment vertical="center"/>
    </xf>
    <xf numFmtId="0" fontId="31" fillId="15" borderId="45" xfId="0" applyFont="1" applyFill="1" applyBorder="1" applyAlignment="1">
      <alignment horizontal="center" vertical="center" wrapText="1"/>
    </xf>
    <xf numFmtId="3" fontId="31" fillId="15" borderId="0" xfId="0" applyNumberFormat="1" applyFont="1" applyFill="1" applyAlignment="1">
      <alignment vertical="center" wrapText="1"/>
    </xf>
    <xf numFmtId="0" fontId="31" fillId="15" borderId="45" xfId="0" applyFont="1" applyFill="1" applyBorder="1" applyAlignment="1">
      <alignment horizontal="left" vertical="center"/>
    </xf>
    <xf numFmtId="9" fontId="31" fillId="15" borderId="97" xfId="65" applyFont="1" applyFill="1" applyBorder="1" applyAlignment="1">
      <alignment horizontal="center" vertical="center" wrapText="1"/>
    </xf>
    <xf numFmtId="0" fontId="31" fillId="0" borderId="112" xfId="43" applyFont="1" applyBorder="1" applyAlignment="1">
      <alignment horizontal="center" vertical="center" wrapText="1"/>
    </xf>
    <xf numFmtId="0" fontId="31" fillId="0" borderId="112" xfId="43" applyFont="1" applyBorder="1" applyAlignment="1">
      <alignment horizontal="left" vertical="center" wrapText="1"/>
    </xf>
    <xf numFmtId="0" fontId="72" fillId="0" borderId="112" xfId="43" applyFont="1" applyBorder="1" applyAlignment="1">
      <alignment horizontal="center" vertical="center" wrapText="1"/>
    </xf>
    <xf numFmtId="9" fontId="31" fillId="0" borderId="112" xfId="43" applyNumberFormat="1" applyFont="1" applyBorder="1" applyAlignment="1">
      <alignment horizontal="center" vertical="center" wrapText="1"/>
    </xf>
    <xf numFmtId="1" fontId="31" fillId="0" borderId="112" xfId="43" applyNumberFormat="1" applyFont="1" applyBorder="1" applyAlignment="1">
      <alignment horizontal="center" vertical="center" wrapText="1"/>
    </xf>
    <xf numFmtId="9" fontId="31" fillId="0" borderId="112" xfId="65" applyFont="1" applyFill="1" applyBorder="1" applyAlignment="1">
      <alignment horizontal="center" vertical="center" wrapText="1"/>
    </xf>
    <xf numFmtId="3" fontId="31" fillId="0" borderId="110" xfId="76" applyNumberFormat="1" applyFont="1" applyFill="1" applyBorder="1" applyAlignment="1">
      <alignment vertical="center"/>
    </xf>
    <xf numFmtId="3" fontId="31" fillId="0" borderId="112" xfId="76" applyNumberFormat="1" applyFont="1" applyFill="1" applyBorder="1" applyAlignment="1">
      <alignment horizontal="right" vertical="center"/>
    </xf>
    <xf numFmtId="9" fontId="25" fillId="0" borderId="112" xfId="65" applyFont="1" applyFill="1" applyBorder="1" applyAlignment="1">
      <alignment horizontal="center" vertical="center" wrapText="1"/>
    </xf>
    <xf numFmtId="0" fontId="31" fillId="0" borderId="112" xfId="43" applyFont="1" applyBorder="1" applyAlignment="1">
      <alignment vertical="top" wrapText="1"/>
    </xf>
    <xf numFmtId="0" fontId="39" fillId="15" borderId="0" xfId="43" applyFont="1" applyFill="1" applyAlignment="1">
      <alignment horizontal="center" vertical="top"/>
    </xf>
    <xf numFmtId="0" fontId="39" fillId="15" borderId="0" xfId="43" applyFont="1" applyFill="1" applyAlignment="1">
      <alignment vertical="top"/>
    </xf>
    <xf numFmtId="0" fontId="39" fillId="15" borderId="0" xfId="43" applyFont="1" applyFill="1"/>
    <xf numFmtId="0" fontId="39" fillId="15" borderId="0" xfId="43" applyFont="1" applyFill="1" applyAlignment="1">
      <alignment horizontal="center"/>
    </xf>
    <xf numFmtId="0" fontId="39" fillId="15" borderId="0" xfId="43" applyFont="1" applyFill="1" applyAlignment="1">
      <alignment horizontal="center" vertical="center"/>
    </xf>
    <xf numFmtId="9" fontId="39" fillId="15" borderId="0" xfId="65" applyFont="1" applyFill="1" applyAlignment="1">
      <alignment horizontal="center"/>
    </xf>
    <xf numFmtId="9" fontId="39" fillId="15" borderId="0" xfId="65" applyFont="1" applyFill="1"/>
    <xf numFmtId="3" fontId="93" fillId="15" borderId="0" xfId="43" applyNumberFormat="1" applyFont="1" applyFill="1" applyAlignment="1">
      <alignment vertical="center"/>
    </xf>
    <xf numFmtId="3" fontId="2" fillId="15" borderId="0" xfId="43" applyNumberFormat="1" applyFont="1" applyFill="1" applyAlignment="1">
      <alignment horizontal="center" vertical="center"/>
    </xf>
    <xf numFmtId="9" fontId="8" fillId="15" borderId="0" xfId="65" applyFont="1" applyFill="1" applyAlignment="1">
      <alignment horizontal="center" vertical="center"/>
    </xf>
    <xf numFmtId="0" fontId="39" fillId="15" borderId="0" xfId="43" applyFont="1" applyFill="1" applyAlignment="1">
      <alignment vertical="top" wrapText="1"/>
    </xf>
    <xf numFmtId="0" fontId="37" fillId="0" borderId="110" xfId="43" applyFont="1" applyBorder="1" applyAlignment="1">
      <alignment horizontal="left" vertical="center" wrapText="1"/>
    </xf>
    <xf numFmtId="3" fontId="39" fillId="0" borderId="110" xfId="76" applyNumberFormat="1" applyFont="1" applyFill="1" applyBorder="1" applyAlignment="1">
      <alignment vertical="center"/>
    </xf>
    <xf numFmtId="3" fontId="72" fillId="0" borderId="110" xfId="43" applyNumberFormat="1" applyFont="1" applyBorder="1" applyAlignment="1">
      <alignment horizontal="center" vertical="center" wrapText="1"/>
    </xf>
    <xf numFmtId="0" fontId="31" fillId="0" borderId="110" xfId="43" applyFont="1" applyBorder="1" applyAlignment="1">
      <alignment horizontal="right" vertical="center" wrapText="1"/>
    </xf>
    <xf numFmtId="14" fontId="31" fillId="0" borderId="110" xfId="43" applyNumberFormat="1" applyFont="1" applyBorder="1" applyAlignment="1">
      <alignment horizontal="center" vertical="center"/>
    </xf>
    <xf numFmtId="172" fontId="31" fillId="0" borderId="110" xfId="65" applyNumberFormat="1" applyFont="1" applyFill="1" applyBorder="1" applyAlignment="1">
      <alignment horizontal="center" vertical="center" wrapText="1"/>
    </xf>
    <xf numFmtId="9" fontId="31" fillId="0" borderId="110" xfId="65" applyFont="1" applyFill="1" applyBorder="1" applyAlignment="1">
      <alignment horizontal="center" vertical="center"/>
    </xf>
    <xf numFmtId="0" fontId="107" fillId="0" borderId="110" xfId="43" applyFont="1" applyBorder="1" applyAlignment="1">
      <alignment horizontal="center" vertical="center" wrapText="1"/>
    </xf>
    <xf numFmtId="9" fontId="32" fillId="0" borderId="110" xfId="43" applyNumberFormat="1" applyFont="1" applyBorder="1" applyAlignment="1">
      <alignment horizontal="center" vertical="center" wrapText="1"/>
    </xf>
    <xf numFmtId="9" fontId="25" fillId="0" borderId="110" xfId="65" applyFont="1" applyFill="1" applyBorder="1" applyAlignment="1">
      <alignment horizontal="right" vertical="center" wrapText="1"/>
    </xf>
    <xf numFmtId="9" fontId="30" fillId="0" borderId="110" xfId="65" applyFont="1" applyFill="1" applyBorder="1" applyAlignment="1">
      <alignment horizontal="center" vertical="center" wrapText="1"/>
    </xf>
    <xf numFmtId="9" fontId="30" fillId="0" borderId="110" xfId="65" applyFont="1" applyFill="1" applyBorder="1" applyAlignment="1">
      <alignment vertical="center" wrapText="1"/>
    </xf>
    <xf numFmtId="9" fontId="2" fillId="0" borderId="110" xfId="65" applyFont="1" applyFill="1" applyBorder="1" applyAlignment="1">
      <alignment horizontal="center" vertical="center" wrapText="1"/>
    </xf>
    <xf numFmtId="0" fontId="30" fillId="0" borderId="110" xfId="43" applyFont="1" applyBorder="1" applyAlignment="1">
      <alignment vertical="top" wrapText="1"/>
    </xf>
    <xf numFmtId="192" fontId="31" fillId="0" borderId="110" xfId="86" applyNumberFormat="1" applyFont="1" applyFill="1" applyBorder="1" applyAlignment="1">
      <alignment vertical="center"/>
    </xf>
    <xf numFmtId="0" fontId="25" fillId="0" borderId="110" xfId="47" applyFont="1" applyBorder="1" applyAlignment="1">
      <alignment horizontal="center" vertical="center" wrapText="1"/>
    </xf>
    <xf numFmtId="195" fontId="31" fillId="0" borderId="110" xfId="86" applyNumberFormat="1" applyFont="1" applyFill="1" applyBorder="1" applyAlignment="1">
      <alignment horizontal="center" vertical="center" wrapText="1"/>
    </xf>
    <xf numFmtId="1" fontId="106" fillId="0" borderId="110" xfId="43" applyNumberFormat="1" applyFont="1" applyBorder="1" applyAlignment="1">
      <alignment horizontal="center" vertical="center" wrapText="1"/>
    </xf>
    <xf numFmtId="10" fontId="31" fillId="0" borderId="110" xfId="65" applyNumberFormat="1" applyFont="1" applyFill="1" applyBorder="1" applyAlignment="1">
      <alignment horizontal="center" vertical="center" wrapText="1"/>
    </xf>
    <xf numFmtId="0" fontId="31" fillId="15" borderId="110" xfId="43" applyFont="1" applyFill="1" applyBorder="1" applyAlignment="1">
      <alignment horizontal="left" vertical="top" wrapText="1"/>
    </xf>
    <xf numFmtId="0" fontId="106" fillId="15" borderId="110" xfId="43" applyFont="1" applyFill="1" applyBorder="1" applyAlignment="1">
      <alignment horizontal="center" vertical="center" wrapText="1"/>
    </xf>
    <xf numFmtId="3" fontId="31" fillId="0" borderId="110" xfId="43" applyNumberFormat="1" applyFont="1" applyBorder="1" applyAlignment="1">
      <alignment horizontal="right" vertical="center" wrapText="1"/>
    </xf>
    <xf numFmtId="187" fontId="31" fillId="0" borderId="110" xfId="43" applyNumberFormat="1" applyFont="1" applyBorder="1" applyAlignment="1">
      <alignment horizontal="center" vertical="center" wrapText="1"/>
    </xf>
    <xf numFmtId="9" fontId="31" fillId="0" borderId="110" xfId="63" applyFont="1" applyFill="1" applyBorder="1" applyAlignment="1">
      <alignment horizontal="center" vertical="center" wrapText="1"/>
    </xf>
    <xf numFmtId="187" fontId="31" fillId="0" borderId="110" xfId="16" applyNumberFormat="1" applyFont="1" applyFill="1" applyBorder="1" applyAlignment="1">
      <alignment horizontal="center" vertical="center" wrapText="1"/>
    </xf>
    <xf numFmtId="187" fontId="31" fillId="15" borderId="110" xfId="43" applyNumberFormat="1" applyFont="1" applyFill="1" applyBorder="1" applyAlignment="1">
      <alignment horizontal="center" vertical="center" wrapText="1"/>
    </xf>
    <xf numFmtId="187" fontId="31" fillId="15" borderId="110" xfId="16" applyNumberFormat="1" applyFont="1" applyFill="1" applyBorder="1" applyAlignment="1">
      <alignment horizontal="center" vertical="center" wrapText="1"/>
    </xf>
    <xf numFmtId="0" fontId="25" fillId="0" borderId="110" xfId="43" applyFont="1" applyBorder="1" applyAlignment="1">
      <alignment horizontal="center" vertical="center" wrapText="1"/>
    </xf>
    <xf numFmtId="3" fontId="31" fillId="0" borderId="110" xfId="76" applyNumberFormat="1" applyFont="1" applyFill="1" applyBorder="1" applyAlignment="1">
      <alignment horizontal="center" vertical="center"/>
    </xf>
    <xf numFmtId="0" fontId="25" fillId="15" borderId="110" xfId="43" applyFont="1" applyFill="1" applyBorder="1" applyAlignment="1">
      <alignment horizontal="center" vertical="center" wrapText="1"/>
    </xf>
    <xf numFmtId="3" fontId="31" fillId="15" borderId="110" xfId="76" applyNumberFormat="1" applyFont="1" applyFill="1" applyBorder="1" applyAlignment="1">
      <alignment horizontal="center" vertical="center"/>
    </xf>
    <xf numFmtId="190" fontId="31" fillId="0" borderId="110" xfId="43" applyNumberFormat="1" applyFont="1" applyBorder="1" applyAlignment="1">
      <alignment horizontal="center" vertical="center" wrapText="1"/>
    </xf>
    <xf numFmtId="0" fontId="36" fillId="15" borderId="110" xfId="43" applyFont="1" applyFill="1" applyBorder="1" applyAlignment="1">
      <alignment horizontal="center" vertical="center" wrapText="1"/>
    </xf>
    <xf numFmtId="0" fontId="8" fillId="0" borderId="6" xfId="35" applyFont="1" applyBorder="1" applyAlignment="1">
      <alignment horizontal="center" vertical="center"/>
    </xf>
    <xf numFmtId="0" fontId="8" fillId="0" borderId="2" xfId="35" applyFont="1" applyBorder="1" applyAlignment="1">
      <alignment horizontal="center" vertical="center"/>
    </xf>
    <xf numFmtId="0" fontId="11" fillId="0" borderId="1" xfId="35" applyFont="1" applyBorder="1" applyAlignment="1">
      <alignment horizontal="center" vertical="center" wrapText="1"/>
    </xf>
    <xf numFmtId="0" fontId="11" fillId="0" borderId="6" xfId="35" applyFont="1" applyBorder="1" applyAlignment="1">
      <alignment horizontal="center" vertical="center" wrapText="1"/>
    </xf>
    <xf numFmtId="0" fontId="11" fillId="0" borderId="2" xfId="35" applyFont="1" applyBorder="1" applyAlignment="1">
      <alignment horizontal="center" vertical="center" wrapText="1"/>
    </xf>
    <xf numFmtId="0" fontId="59" fillId="0" borderId="14" xfId="0" applyFont="1" applyBorder="1" applyAlignment="1">
      <alignment horizontal="center" vertical="center"/>
    </xf>
    <xf numFmtId="0" fontId="109" fillId="0" borderId="15" xfId="0" applyFont="1" applyBorder="1"/>
    <xf numFmtId="0" fontId="109" fillId="0" borderId="13" xfId="0" applyFont="1" applyBorder="1"/>
    <xf numFmtId="172" fontId="59" fillId="0" borderId="14" xfId="0" applyNumberFormat="1" applyFont="1" applyBorder="1" applyAlignment="1">
      <alignment horizontal="center" vertical="center"/>
    </xf>
    <xf numFmtId="1" fontId="59" fillId="0" borderId="14" xfId="0" applyNumberFormat="1" applyFont="1" applyBorder="1" applyAlignment="1">
      <alignment horizontal="center" vertical="center" wrapText="1"/>
    </xf>
    <xf numFmtId="0" fontId="59" fillId="0" borderId="14" xfId="0" applyFont="1" applyBorder="1" applyAlignment="1">
      <alignment vertical="center" wrapText="1"/>
    </xf>
    <xf numFmtId="172" fontId="59" fillId="0" borderId="14" xfId="0" applyNumberFormat="1" applyFont="1" applyBorder="1" applyAlignment="1">
      <alignment horizontal="center" vertical="center" wrapText="1"/>
    </xf>
    <xf numFmtId="0" fontId="5" fillId="2" borderId="7" xfId="43" applyFont="1" applyFill="1" applyBorder="1" applyAlignment="1">
      <alignment horizontal="center" vertical="center" wrapText="1"/>
    </xf>
    <xf numFmtId="0" fontId="5" fillId="2" borderId="8" xfId="43" applyFont="1" applyFill="1" applyBorder="1" applyAlignment="1">
      <alignment horizontal="center" vertical="center" wrapText="1"/>
    </xf>
    <xf numFmtId="0" fontId="5" fillId="2" borderId="9" xfId="43" applyFont="1" applyFill="1" applyBorder="1" applyAlignment="1">
      <alignment horizontal="center" vertical="center" wrapText="1"/>
    </xf>
    <xf numFmtId="0" fontId="6" fillId="2" borderId="1" xfId="44" applyFont="1" applyFill="1" applyBorder="1" applyAlignment="1">
      <alignment horizontal="center" vertical="center" wrapText="1"/>
    </xf>
    <xf numFmtId="0" fontId="6" fillId="0" borderId="1" xfId="39" applyFont="1" applyBorder="1" applyAlignment="1">
      <alignment horizontal="center" vertical="center" wrapText="1"/>
    </xf>
    <xf numFmtId="14" fontId="6" fillId="0" borderId="1" xfId="39" applyNumberFormat="1" applyFont="1" applyBorder="1" applyAlignment="1">
      <alignment horizontal="center" vertical="center" wrapText="1"/>
    </xf>
    <xf numFmtId="0" fontId="4" fillId="0" borderId="1" xfId="44" applyFont="1" applyBorder="1" applyAlignment="1">
      <alignment horizontal="center" vertical="center" wrapText="1"/>
    </xf>
    <xf numFmtId="0" fontId="4" fillId="0" borderId="1" xfId="38" applyFont="1" applyBorder="1" applyAlignment="1">
      <alignment horizontal="center" vertical="center" wrapText="1"/>
    </xf>
    <xf numFmtId="0" fontId="4" fillId="0" borderId="1" xfId="39" applyFont="1" applyBorder="1" applyAlignment="1">
      <alignment horizontal="center" vertical="center" wrapText="1"/>
    </xf>
    <xf numFmtId="0" fontId="4" fillId="0" borderId="1" xfId="43" applyFont="1" applyBorder="1" applyAlignment="1">
      <alignment horizontal="center" vertical="center" wrapText="1"/>
    </xf>
    <xf numFmtId="0" fontId="2" fillId="2" borderId="2" xfId="43" applyFont="1" applyFill="1" applyBorder="1" applyAlignment="1">
      <alignment horizontal="center" vertical="center"/>
    </xf>
    <xf numFmtId="0" fontId="59" fillId="0" borderId="47" xfId="0" applyFont="1" applyBorder="1" applyAlignment="1">
      <alignment horizontal="center" vertical="center" wrapText="1"/>
    </xf>
    <xf numFmtId="0" fontId="109" fillId="0" borderId="48" xfId="0" applyFont="1" applyBorder="1"/>
    <xf numFmtId="1" fontId="59" fillId="0" borderId="14" xfId="0" applyNumberFormat="1" applyFont="1" applyBorder="1" applyAlignment="1">
      <alignment horizontal="center" vertical="center"/>
    </xf>
    <xf numFmtId="0" fontId="59" fillId="0" borderId="14" xfId="0" applyFont="1" applyBorder="1" applyAlignment="1">
      <alignment vertical="center"/>
    </xf>
    <xf numFmtId="172" fontId="59" fillId="8" borderId="14" xfId="0" applyNumberFormat="1" applyFont="1" applyFill="1" applyBorder="1" applyAlignment="1">
      <alignment horizontal="center" vertical="center"/>
    </xf>
    <xf numFmtId="0" fontId="59" fillId="0" borderId="14" xfId="0" applyFont="1" applyBorder="1" applyAlignment="1">
      <alignment horizontal="center" vertical="center" wrapText="1"/>
    </xf>
    <xf numFmtId="0" fontId="109" fillId="0" borderId="37" xfId="0" applyFont="1" applyBorder="1"/>
    <xf numFmtId="0" fontId="4" fillId="0" borderId="6" xfId="39" applyFont="1" applyBorder="1" applyAlignment="1">
      <alignment horizontal="center" vertical="center" wrapText="1"/>
    </xf>
    <xf numFmtId="0" fontId="31" fillId="0" borderId="14" xfId="0" applyFont="1" applyBorder="1" applyAlignment="1">
      <alignment horizontal="center" vertical="center"/>
    </xf>
    <xf numFmtId="0" fontId="40" fillId="0" borderId="15" xfId="0" applyFont="1" applyBorder="1"/>
    <xf numFmtId="0" fontId="40" fillId="0" borderId="13" xfId="0" applyFont="1" applyBorder="1"/>
    <xf numFmtId="0" fontId="31" fillId="0" borderId="14" xfId="0" applyFont="1" applyBorder="1" applyAlignment="1">
      <alignment vertical="center" wrapText="1"/>
    </xf>
    <xf numFmtId="0" fontId="31" fillId="0" borderId="14" xfId="0" applyFont="1" applyBorder="1" applyAlignment="1">
      <alignment horizontal="center" vertical="center" wrapText="1"/>
    </xf>
    <xf numFmtId="172" fontId="25" fillId="0" borderId="51" xfId="0" applyNumberFormat="1" applyFont="1" applyBorder="1" applyAlignment="1">
      <alignment horizontal="center" vertical="center"/>
    </xf>
    <xf numFmtId="172" fontId="25" fillId="0" borderId="29" xfId="0" applyNumberFormat="1" applyFont="1" applyBorder="1" applyAlignment="1">
      <alignment horizontal="center" vertical="center"/>
    </xf>
    <xf numFmtId="0" fontId="40" fillId="0" borderId="37" xfId="0" applyFont="1" applyBorder="1"/>
    <xf numFmtId="10" fontId="25" fillId="0" borderId="51" xfId="0" applyNumberFormat="1" applyFont="1" applyBorder="1" applyAlignment="1">
      <alignment horizontal="center" vertical="center"/>
    </xf>
    <xf numFmtId="10" fontId="25" fillId="0" borderId="29" xfId="0" applyNumberFormat="1" applyFont="1" applyBorder="1" applyAlignment="1">
      <alignment horizontal="center" vertical="center"/>
    </xf>
    <xf numFmtId="10" fontId="25" fillId="0" borderId="40" xfId="0" applyNumberFormat="1" applyFont="1" applyBorder="1" applyAlignment="1">
      <alignment horizontal="center" vertical="center"/>
    </xf>
    <xf numFmtId="0" fontId="5" fillId="2" borderId="20" xfId="43" applyFont="1" applyFill="1" applyBorder="1" applyAlignment="1">
      <alignment horizontal="center" vertical="center" wrapText="1"/>
    </xf>
    <xf numFmtId="0" fontId="25" fillId="0" borderId="10" xfId="44" applyFont="1" applyBorder="1" applyAlignment="1">
      <alignment horizontal="center" vertical="center" wrapText="1"/>
    </xf>
    <xf numFmtId="0" fontId="25" fillId="0" borderId="19" xfId="44" applyFont="1" applyBorder="1" applyAlignment="1">
      <alignment horizontal="center" vertical="center" wrapText="1"/>
    </xf>
    <xf numFmtId="0" fontId="25" fillId="0" borderId="10" xfId="49" applyFont="1" applyBorder="1" applyAlignment="1">
      <alignment horizontal="center" vertical="center"/>
    </xf>
    <xf numFmtId="0" fontId="25" fillId="0" borderId="19" xfId="49" applyFont="1" applyBorder="1" applyAlignment="1">
      <alignment horizontal="center" vertical="center"/>
    </xf>
    <xf numFmtId="1" fontId="25" fillId="0" borderId="10" xfId="43" quotePrefix="1" applyNumberFormat="1" applyFont="1" applyBorder="1" applyAlignment="1">
      <alignment horizontal="center" vertical="center" wrapText="1"/>
    </xf>
    <xf numFmtId="1" fontId="25" fillId="0" borderId="19" xfId="43" quotePrefix="1" applyNumberFormat="1" applyFont="1" applyBorder="1" applyAlignment="1">
      <alignment horizontal="center" vertical="center" wrapText="1"/>
    </xf>
    <xf numFmtId="1" fontId="25" fillId="2" borderId="10" xfId="43" applyNumberFormat="1" applyFont="1" applyFill="1" applyBorder="1" applyAlignment="1">
      <alignment horizontal="center" vertical="center" wrapText="1"/>
    </xf>
    <xf numFmtId="1" fontId="25" fillId="2" borderId="19" xfId="43" applyNumberFormat="1" applyFont="1" applyFill="1" applyBorder="1" applyAlignment="1">
      <alignment horizontal="center" vertical="center" wrapText="1"/>
    </xf>
    <xf numFmtId="0" fontId="11" fillId="2" borderId="10" xfId="43" applyFont="1" applyFill="1" applyBorder="1" applyAlignment="1">
      <alignment vertical="center" wrapText="1"/>
    </xf>
    <xf numFmtId="0" fontId="11" fillId="2" borderId="19" xfId="43" applyFont="1" applyFill="1" applyBorder="1" applyAlignment="1">
      <alignment vertical="center" wrapText="1"/>
    </xf>
    <xf numFmtId="172" fontId="25" fillId="0" borderId="10" xfId="65" applyNumberFormat="1" applyFont="1" applyFill="1" applyBorder="1" applyAlignment="1">
      <alignment horizontal="center" vertical="center" wrapText="1"/>
    </xf>
    <xf numFmtId="172" fontId="25" fillId="0" borderId="19" xfId="65" applyNumberFormat="1" applyFont="1" applyFill="1" applyBorder="1" applyAlignment="1">
      <alignment horizontal="center" vertical="center" wrapText="1"/>
    </xf>
    <xf numFmtId="0" fontId="74" fillId="0" borderId="37" xfId="0" applyFont="1" applyBorder="1"/>
    <xf numFmtId="0" fontId="75" fillId="0" borderId="14" xfId="0" applyFont="1" applyBorder="1" applyAlignment="1">
      <alignment vertical="center" wrapText="1"/>
    </xf>
    <xf numFmtId="0" fontId="74" fillId="0" borderId="15" xfId="0" applyFont="1" applyBorder="1"/>
    <xf numFmtId="0" fontId="74" fillId="0" borderId="13" xfId="0" applyFont="1" applyBorder="1"/>
    <xf numFmtId="0" fontId="75" fillId="0" borderId="14" xfId="0" applyFont="1" applyBorder="1" applyAlignment="1">
      <alignment horizontal="center" vertical="center"/>
    </xf>
    <xf numFmtId="10" fontId="59" fillId="0" borderId="14" xfId="0" applyNumberFormat="1" applyFont="1" applyBorder="1" applyAlignment="1">
      <alignment horizontal="center" vertical="center" wrapText="1"/>
    </xf>
    <xf numFmtId="0" fontId="76" fillId="0" borderId="14" xfId="0" applyFont="1" applyBorder="1" applyAlignment="1">
      <alignment horizontal="center" vertical="center"/>
    </xf>
    <xf numFmtId="10" fontId="59" fillId="0" borderId="14" xfId="0" applyNumberFormat="1" applyFont="1" applyBorder="1" applyAlignment="1">
      <alignment horizontal="center" vertical="center"/>
    </xf>
    <xf numFmtId="0" fontId="4" fillId="0" borderId="28" xfId="44" applyFont="1" applyBorder="1" applyAlignment="1">
      <alignment horizontal="center" vertical="center" wrapText="1"/>
    </xf>
    <xf numFmtId="0" fontId="4" fillId="0" borderId="28" xfId="38" applyFont="1" applyBorder="1" applyAlignment="1">
      <alignment horizontal="center" vertical="center" wrapText="1"/>
    </xf>
    <xf numFmtId="0" fontId="4" fillId="0" borderId="28" xfId="39" applyFont="1" applyBorder="1" applyAlignment="1">
      <alignment horizontal="center" vertical="center" wrapText="1"/>
    </xf>
    <xf numFmtId="0" fontId="4" fillId="0" borderId="28" xfId="43" applyFont="1" applyBorder="1" applyAlignment="1">
      <alignment horizontal="center" vertical="center" wrapText="1"/>
    </xf>
    <xf numFmtId="0" fontId="60" fillId="0" borderId="59" xfId="0" applyFont="1" applyBorder="1" applyAlignment="1">
      <alignment vertical="center" wrapText="1"/>
    </xf>
    <xf numFmtId="0" fontId="74" fillId="0" borderId="60" xfId="0" applyFont="1" applyBorder="1"/>
    <xf numFmtId="0" fontId="74" fillId="0" borderId="61" xfId="0" applyFont="1" applyBorder="1"/>
    <xf numFmtId="0" fontId="59" fillId="8" borderId="10" xfId="0" applyFont="1" applyFill="1" applyBorder="1" applyAlignment="1">
      <alignment horizontal="center" vertical="center"/>
    </xf>
    <xf numFmtId="0" fontId="75" fillId="0" borderId="10" xfId="0" applyFont="1" applyBorder="1" applyAlignment="1">
      <alignment horizontal="center" vertical="center" wrapText="1"/>
    </xf>
    <xf numFmtId="0" fontId="74" fillId="0" borderId="10" xfId="0" applyFont="1" applyBorder="1"/>
    <xf numFmtId="10" fontId="75" fillId="0" borderId="10" xfId="0" applyNumberFormat="1" applyFont="1" applyBorder="1" applyAlignment="1">
      <alignment horizontal="center" vertical="center"/>
    </xf>
    <xf numFmtId="0" fontId="60" fillId="0" borderId="59" xfId="0" applyFont="1" applyBorder="1" applyAlignment="1">
      <alignment horizontal="center" vertical="center" wrapText="1"/>
    </xf>
    <xf numFmtId="0" fontId="60" fillId="8" borderId="10" xfId="0" applyFont="1" applyFill="1" applyBorder="1" applyAlignment="1">
      <alignment horizontal="left" vertical="center" wrapText="1"/>
    </xf>
    <xf numFmtId="0" fontId="80" fillId="0" borderId="59" xfId="0" applyFont="1" applyBorder="1" applyAlignment="1">
      <alignment horizontal="center" vertical="center" wrapText="1"/>
    </xf>
    <xf numFmtId="0" fontId="79" fillId="8" borderId="10" xfId="0" applyFont="1" applyFill="1" applyBorder="1" applyAlignment="1">
      <alignment horizontal="center" vertical="center"/>
    </xf>
    <xf numFmtId="0" fontId="59" fillId="8" borderId="10" xfId="0" applyFont="1" applyFill="1" applyBorder="1" applyAlignment="1">
      <alignment vertical="center" wrapText="1"/>
    </xf>
    <xf numFmtId="10" fontId="59" fillId="0" borderId="10" xfId="0" applyNumberFormat="1" applyFont="1" applyBorder="1" applyAlignment="1">
      <alignment horizontal="center" vertical="center"/>
    </xf>
    <xf numFmtId="1" fontId="78" fillId="8" borderId="10" xfId="0" applyNumberFormat="1" applyFont="1" applyFill="1" applyBorder="1" applyAlignment="1">
      <alignment horizontal="center" vertical="center" wrapText="1"/>
    </xf>
    <xf numFmtId="0" fontId="78" fillId="8" borderId="10" xfId="0" applyFont="1" applyFill="1" applyBorder="1" applyAlignment="1">
      <alignment horizontal="left" vertical="center" wrapText="1"/>
    </xf>
    <xf numFmtId="10" fontId="59" fillId="0" borderId="10" xfId="0" applyNumberFormat="1" applyFont="1" applyBorder="1" applyAlignment="1">
      <alignment horizontal="center" vertical="center" wrapText="1"/>
    </xf>
    <xf numFmtId="0" fontId="59" fillId="8" borderId="10" xfId="0" applyFont="1" applyFill="1" applyBorder="1" applyAlignment="1">
      <alignment horizontal="center" vertical="center" wrapText="1"/>
    </xf>
    <xf numFmtId="1" fontId="59" fillId="8" borderId="10" xfId="0" applyNumberFormat="1" applyFont="1" applyFill="1" applyBorder="1" applyAlignment="1">
      <alignment horizontal="center" vertical="center" wrapText="1"/>
    </xf>
    <xf numFmtId="0" fontId="59" fillId="8" borderId="10" xfId="0" applyFont="1" applyFill="1" applyBorder="1" applyAlignment="1">
      <alignment horizontal="left" vertical="center" wrapText="1"/>
    </xf>
    <xf numFmtId="0" fontId="4" fillId="0" borderId="20" xfId="39" applyFont="1" applyBorder="1" applyAlignment="1">
      <alignment horizontal="center" vertical="center" wrapText="1"/>
    </xf>
    <xf numFmtId="0" fontId="4" fillId="0" borderId="20" xfId="44" applyFont="1" applyBorder="1" applyAlignment="1">
      <alignment horizontal="center" vertical="center" wrapText="1"/>
    </xf>
    <xf numFmtId="0" fontId="4" fillId="0" borderId="20" xfId="38" applyFont="1" applyBorder="1" applyAlignment="1">
      <alignment horizontal="center" vertical="center" wrapText="1"/>
    </xf>
    <xf numFmtId="0" fontId="4" fillId="0" borderId="20" xfId="43" applyFont="1" applyBorder="1" applyAlignment="1">
      <alignment horizontal="center" vertical="center" wrapText="1"/>
    </xf>
    <xf numFmtId="0" fontId="36" fillId="0" borderId="14" xfId="0" applyFont="1" applyBorder="1" applyAlignment="1">
      <alignment horizontal="center" vertical="center" wrapText="1"/>
    </xf>
    <xf numFmtId="0" fontId="36" fillId="0" borderId="14" xfId="0" applyFont="1" applyBorder="1" applyAlignment="1">
      <alignment horizontal="center" vertical="center"/>
    </xf>
    <xf numFmtId="0" fontId="36" fillId="0" borderId="14" xfId="0" applyFont="1" applyBorder="1" applyAlignment="1">
      <alignment horizontal="left" vertical="center" wrapText="1"/>
    </xf>
    <xf numFmtId="172" fontId="36" fillId="0" borderId="14" xfId="0" applyNumberFormat="1" applyFont="1" applyBorder="1" applyAlignment="1">
      <alignment horizontal="center" vertical="center" wrapText="1"/>
    </xf>
    <xf numFmtId="3" fontId="36" fillId="0" borderId="14" xfId="0" applyNumberFormat="1" applyFont="1" applyBorder="1" applyAlignment="1">
      <alignment horizontal="center" vertical="center" wrapText="1"/>
    </xf>
    <xf numFmtId="0" fontId="36" fillId="0" borderId="14" xfId="0" applyFont="1" applyBorder="1" applyAlignment="1">
      <alignment vertical="center" wrapText="1"/>
    </xf>
    <xf numFmtId="0" fontId="25" fillId="0" borderId="14" xfId="0" applyFont="1" applyBorder="1" applyAlignment="1">
      <alignment horizontal="center" vertical="center"/>
    </xf>
    <xf numFmtId="0" fontId="25" fillId="0" borderId="14" xfId="0" applyFont="1" applyBorder="1" applyAlignment="1">
      <alignment horizontal="center" vertical="center" wrapText="1"/>
    </xf>
    <xf numFmtId="0" fontId="25" fillId="0" borderId="14" xfId="0" applyFont="1" applyBorder="1" applyAlignment="1">
      <alignment horizontal="left" vertical="center" wrapText="1"/>
    </xf>
    <xf numFmtId="172" fontId="25" fillId="0" borderId="14" xfId="0" applyNumberFormat="1" applyFont="1" applyBorder="1" applyAlignment="1">
      <alignment horizontal="center" vertical="center" wrapText="1"/>
    </xf>
    <xf numFmtId="9" fontId="25" fillId="0" borderId="14" xfId="0" applyNumberFormat="1" applyFont="1" applyBorder="1" applyAlignment="1">
      <alignment horizontal="center" vertical="center"/>
    </xf>
    <xf numFmtId="9" fontId="25" fillId="0" borderId="14" xfId="0" applyNumberFormat="1" applyFont="1" applyBorder="1" applyAlignment="1">
      <alignment horizontal="center" vertical="center" wrapText="1"/>
    </xf>
    <xf numFmtId="9" fontId="36" fillId="0" borderId="14" xfId="0" applyNumberFormat="1" applyFont="1" applyBorder="1" applyAlignment="1">
      <alignment horizontal="center" vertical="center" wrapText="1"/>
    </xf>
    <xf numFmtId="0" fontId="31" fillId="0" borderId="14" xfId="0" applyFont="1" applyBorder="1" applyAlignment="1">
      <alignment horizontal="left" vertical="center" wrapText="1"/>
    </xf>
    <xf numFmtId="172" fontId="31" fillId="0" borderId="14" xfId="0" applyNumberFormat="1" applyFont="1" applyBorder="1" applyAlignment="1">
      <alignment horizontal="center" vertical="center" wrapText="1"/>
    </xf>
    <xf numFmtId="3" fontId="25" fillId="0" borderId="14" xfId="0" applyNumberFormat="1" applyFont="1" applyBorder="1" applyAlignment="1">
      <alignment horizontal="center" vertical="center" wrapText="1"/>
    </xf>
    <xf numFmtId="0" fontId="25" fillId="0" borderId="14" xfId="0" applyFont="1" applyBorder="1" applyAlignment="1">
      <alignment horizontal="left" vertical="center"/>
    </xf>
    <xf numFmtId="10" fontId="25" fillId="0" borderId="14" xfId="0" applyNumberFormat="1" applyFont="1" applyBorder="1" applyAlignment="1">
      <alignment horizontal="center" vertical="center" wrapText="1"/>
    </xf>
    <xf numFmtId="10" fontId="36" fillId="0" borderId="14" xfId="0" applyNumberFormat="1" applyFont="1" applyBorder="1" applyAlignment="1">
      <alignment horizontal="center" vertical="center"/>
    </xf>
    <xf numFmtId="10" fontId="36" fillId="0" borderId="14" xfId="0" applyNumberFormat="1" applyFont="1" applyBorder="1" applyAlignment="1">
      <alignment horizontal="center" vertical="center" wrapText="1"/>
    </xf>
    <xf numFmtId="0" fontId="28" fillId="0" borderId="14"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29" xfId="0" applyFont="1" applyBorder="1" applyAlignment="1">
      <alignment horizontal="center" vertical="center" wrapText="1"/>
    </xf>
    <xf numFmtId="0" fontId="31" fillId="0" borderId="33" xfId="0" applyFont="1" applyBorder="1" applyAlignment="1">
      <alignment horizontal="center" vertical="center" wrapText="1"/>
    </xf>
    <xf numFmtId="0" fontId="25" fillId="0" borderId="30" xfId="44" applyFont="1" applyBorder="1" applyAlignment="1">
      <alignment horizontal="center" vertical="center"/>
    </xf>
    <xf numFmtId="0" fontId="25" fillId="0" borderId="30" xfId="44" applyFont="1" applyBorder="1" applyAlignment="1">
      <alignment horizontal="left" vertical="center" wrapText="1"/>
    </xf>
    <xf numFmtId="9" fontId="31" fillId="0" borderId="30" xfId="65" applyFont="1" applyFill="1" applyBorder="1" applyAlignment="1">
      <alignment horizontal="center" vertical="center" wrapText="1"/>
    </xf>
    <xf numFmtId="0" fontId="25" fillId="0" borderId="30" xfId="44" applyFont="1" applyBorder="1" applyAlignment="1">
      <alignment horizontal="center" vertical="center" wrapText="1"/>
    </xf>
    <xf numFmtId="1" fontId="25" fillId="0" borderId="30" xfId="44" applyNumberFormat="1" applyFont="1" applyBorder="1" applyAlignment="1">
      <alignment horizontal="center" vertical="center" wrapText="1"/>
    </xf>
    <xf numFmtId="9" fontId="25" fillId="0" borderId="30" xfId="65" applyFont="1" applyFill="1" applyBorder="1" applyAlignment="1">
      <alignment horizontal="center" vertical="center"/>
    </xf>
    <xf numFmtId="0" fontId="4" fillId="0" borderId="21" xfId="38" applyFont="1" applyBorder="1" applyAlignment="1">
      <alignment horizontal="center" vertical="center" wrapText="1"/>
    </xf>
    <xf numFmtId="0" fontId="4" fillId="0" borderId="2" xfId="38" applyFont="1" applyBorder="1" applyAlignment="1">
      <alignment horizontal="center" vertical="center" wrapText="1"/>
    </xf>
    <xf numFmtId="0" fontId="4" fillId="0" borderId="21" xfId="44" applyFont="1" applyBorder="1" applyAlignment="1">
      <alignment horizontal="center" vertical="center" wrapText="1"/>
    </xf>
    <xf numFmtId="0" fontId="4" fillId="0" borderId="2" xfId="44" applyFont="1" applyBorder="1" applyAlignment="1">
      <alignment horizontal="center" vertical="center" wrapText="1"/>
    </xf>
    <xf numFmtId="9" fontId="4" fillId="0" borderId="21" xfId="79" applyFont="1" applyFill="1" applyBorder="1" applyAlignment="1">
      <alignment horizontal="center" vertical="center" wrapText="1"/>
    </xf>
    <xf numFmtId="9" fontId="4" fillId="0" borderId="2" xfId="79" applyFont="1" applyFill="1" applyBorder="1" applyAlignment="1">
      <alignment horizontal="center" vertical="center" wrapText="1"/>
    </xf>
    <xf numFmtId="0" fontId="4" fillId="0" borderId="21" xfId="43" applyFont="1" applyBorder="1" applyAlignment="1">
      <alignment horizontal="center" vertical="center" wrapText="1"/>
    </xf>
    <xf numFmtId="0" fontId="4" fillId="0" borderId="2" xfId="43" applyFont="1" applyBorder="1" applyAlignment="1">
      <alignment horizontal="center" vertical="center" wrapText="1"/>
    </xf>
    <xf numFmtId="1" fontId="25" fillId="0" borderId="30" xfId="43" applyNumberFormat="1" applyFont="1" applyBorder="1" applyAlignment="1">
      <alignment horizontal="center" vertical="center" wrapText="1"/>
    </xf>
    <xf numFmtId="0" fontId="11" fillId="0" borderId="30" xfId="43" applyFont="1" applyBorder="1" applyAlignment="1">
      <alignment horizontal="left" vertical="center" wrapText="1"/>
    </xf>
    <xf numFmtId="0" fontId="25" fillId="0" borderId="30" xfId="39" applyFont="1" applyBorder="1" applyAlignment="1">
      <alignment horizontal="left" vertical="center" wrapText="1"/>
    </xf>
    <xf numFmtId="0" fontId="25" fillId="0" borderId="30" xfId="39" applyFont="1" applyBorder="1" applyAlignment="1">
      <alignment horizontal="center" vertical="center" wrapText="1"/>
    </xf>
    <xf numFmtId="0" fontId="5" fillId="0" borderId="20" xfId="43" applyFont="1" applyBorder="1" applyAlignment="1">
      <alignment horizontal="center" vertical="center" wrapText="1"/>
    </xf>
    <xf numFmtId="0" fontId="5" fillId="0" borderId="7" xfId="43" applyFont="1" applyBorder="1" applyAlignment="1">
      <alignment horizontal="center" vertical="center" wrapText="1"/>
    </xf>
    <xf numFmtId="0" fontId="5" fillId="0" borderId="8" xfId="43" applyFont="1" applyBorder="1" applyAlignment="1">
      <alignment horizontal="center" vertical="center" wrapText="1"/>
    </xf>
    <xf numFmtId="0" fontId="5" fillId="0" borderId="9" xfId="43" applyFont="1" applyBorder="1" applyAlignment="1">
      <alignment horizontal="center" vertical="center" wrapText="1"/>
    </xf>
    <xf numFmtId="0" fontId="6" fillId="0" borderId="1" xfId="44" applyFont="1" applyBorder="1" applyAlignment="1">
      <alignment horizontal="center" vertical="center" wrapText="1"/>
    </xf>
    <xf numFmtId="0" fontId="4" fillId="0" borderId="21" xfId="39" applyFont="1" applyBorder="1" applyAlignment="1">
      <alignment horizontal="center" vertical="center" wrapText="1"/>
    </xf>
    <xf numFmtId="0" fontId="4" fillId="0" borderId="2" xfId="39" applyFont="1" applyBorder="1" applyAlignment="1">
      <alignment horizontal="center" vertical="center" wrapText="1"/>
    </xf>
    <xf numFmtId="0" fontId="25" fillId="0" borderId="30" xfId="49" applyFont="1" applyBorder="1" applyAlignment="1">
      <alignment horizontal="left" vertical="center" wrapText="1"/>
    </xf>
    <xf numFmtId="0" fontId="25" fillId="0" borderId="30" xfId="49" applyFont="1" applyBorder="1" applyAlignment="1">
      <alignment horizontal="center" vertical="center"/>
    </xf>
    <xf numFmtId="0" fontId="25" fillId="0" borderId="30" xfId="49" applyFont="1" applyBorder="1" applyAlignment="1">
      <alignment horizontal="center" vertical="center" wrapText="1"/>
    </xf>
    <xf numFmtId="0" fontId="25" fillId="0" borderId="27" xfId="49" applyFont="1" applyBorder="1" applyAlignment="1">
      <alignment horizontal="center" vertical="center" wrapText="1"/>
    </xf>
    <xf numFmtId="0" fontId="25" fillId="0" borderId="29" xfId="49" applyFont="1" applyBorder="1" applyAlignment="1">
      <alignment horizontal="center" vertical="center" wrapText="1"/>
    </xf>
    <xf numFmtId="0" fontId="25" fillId="0" borderId="33" xfId="49" applyFont="1" applyBorder="1" applyAlignment="1">
      <alignment horizontal="center" vertical="center" wrapText="1"/>
    </xf>
    <xf numFmtId="1" fontId="25" fillId="0" borderId="27" xfId="43" applyNumberFormat="1" applyFont="1" applyBorder="1" applyAlignment="1">
      <alignment horizontal="center" vertical="center" wrapText="1"/>
    </xf>
    <xf numFmtId="1" fontId="25" fillId="0" borderId="29" xfId="43" applyNumberFormat="1" applyFont="1" applyBorder="1" applyAlignment="1">
      <alignment horizontal="center" vertical="center" wrapText="1"/>
    </xf>
    <xf numFmtId="1" fontId="25" fillId="0" borderId="33" xfId="43" applyNumberFormat="1" applyFont="1" applyBorder="1" applyAlignment="1">
      <alignment horizontal="center" vertical="center" wrapText="1"/>
    </xf>
    <xf numFmtId="0" fontId="11" fillId="0" borderId="27" xfId="43" applyFont="1" applyBorder="1" applyAlignment="1">
      <alignment horizontal="left" vertical="center" wrapText="1"/>
    </xf>
    <xf numFmtId="0" fontId="11" fillId="0" borderId="29" xfId="43" applyFont="1" applyBorder="1" applyAlignment="1">
      <alignment horizontal="left" vertical="center" wrapText="1"/>
    </xf>
    <xf numFmtId="0" fontId="11" fillId="0" borderId="33" xfId="43" applyFont="1" applyBorder="1" applyAlignment="1">
      <alignment horizontal="left" vertical="center" wrapText="1"/>
    </xf>
    <xf numFmtId="0" fontId="31" fillId="0" borderId="15" xfId="0" applyFont="1" applyBorder="1" applyAlignment="1">
      <alignment horizontal="center" vertical="center" wrapText="1"/>
    </xf>
    <xf numFmtId="0" fontId="31" fillId="0" borderId="13" xfId="0" applyFont="1" applyBorder="1" applyAlignment="1">
      <alignment horizontal="center" vertical="center" wrapText="1"/>
    </xf>
    <xf numFmtId="0" fontId="25" fillId="0" borderId="30" xfId="44" applyFont="1" applyBorder="1" applyAlignment="1">
      <alignment horizontal="left" vertical="center"/>
    </xf>
    <xf numFmtId="0" fontId="31" fillId="0" borderId="30" xfId="0" applyFont="1" applyBorder="1" applyAlignment="1">
      <alignment horizontal="center" vertical="center"/>
    </xf>
    <xf numFmtId="0" fontId="31" fillId="0" borderId="30" xfId="0" applyFont="1" applyBorder="1" applyAlignment="1">
      <alignment horizontal="left" vertical="center" wrapText="1"/>
    </xf>
    <xf numFmtId="0" fontId="36" fillId="0" borderId="0" xfId="0" applyFont="1" applyAlignment="1">
      <alignment horizontal="left" vertical="center"/>
    </xf>
    <xf numFmtId="0" fontId="25" fillId="0" borderId="27" xfId="44" applyFont="1" applyBorder="1" applyAlignment="1">
      <alignment horizontal="center" vertical="center" wrapText="1"/>
    </xf>
    <xf numFmtId="0" fontId="25" fillId="0" borderId="33" xfId="44" applyFont="1" applyBorder="1" applyAlignment="1">
      <alignment horizontal="center" vertical="center" wrapText="1"/>
    </xf>
    <xf numFmtId="0" fontId="25" fillId="0" borderId="31" xfId="44" applyFont="1" applyBorder="1" applyAlignment="1">
      <alignment horizontal="center" vertical="center" wrapText="1"/>
    </xf>
    <xf numFmtId="0" fontId="25" fillId="0" borderId="31" xfId="44" applyFont="1" applyBorder="1" applyAlignment="1">
      <alignment horizontal="left" vertical="center" wrapText="1"/>
    </xf>
    <xf numFmtId="9" fontId="31" fillId="0" borderId="31" xfId="65" applyFont="1" applyFill="1" applyBorder="1" applyAlignment="1">
      <alignment horizontal="center" vertical="center" wrapText="1"/>
    </xf>
    <xf numFmtId="0" fontId="31" fillId="0" borderId="32" xfId="0" applyFont="1" applyBorder="1" applyAlignment="1">
      <alignment horizontal="center" vertical="center" wrapText="1"/>
    </xf>
    <xf numFmtId="49" fontId="31" fillId="0" borderId="14" xfId="0" applyNumberFormat="1" applyFont="1" applyBorder="1" applyAlignment="1">
      <alignment horizontal="center" vertical="center" wrapText="1"/>
    </xf>
    <xf numFmtId="0" fontId="3" fillId="0" borderId="13" xfId="0" applyFont="1" applyBorder="1"/>
    <xf numFmtId="172" fontId="31" fillId="0" borderId="14" xfId="0" applyNumberFormat="1" applyFont="1" applyBorder="1" applyAlignment="1">
      <alignment horizontal="center" vertical="center"/>
    </xf>
    <xf numFmtId="49" fontId="31" fillId="0" borderId="47" xfId="0" applyNumberFormat="1" applyFont="1" applyBorder="1" applyAlignment="1">
      <alignment horizontal="center" vertical="center" wrapText="1"/>
    </xf>
    <xf numFmtId="0" fontId="3" fillId="0" borderId="53" xfId="0" applyFont="1" applyBorder="1"/>
    <xf numFmtId="0" fontId="3" fillId="0" borderId="48" xfId="0" applyFont="1" applyBorder="1"/>
    <xf numFmtId="0" fontId="3" fillId="0" borderId="15" xfId="0" applyFont="1" applyBorder="1"/>
    <xf numFmtId="0" fontId="30" fillId="0" borderId="14" xfId="0" applyFont="1" applyBorder="1" applyAlignment="1">
      <alignment horizontal="center" vertical="center" wrapText="1"/>
    </xf>
    <xf numFmtId="172" fontId="31" fillId="0" borderId="49" xfId="0" applyNumberFormat="1" applyFont="1" applyBorder="1" applyAlignment="1">
      <alignment horizontal="center" vertical="center"/>
    </xf>
    <xf numFmtId="0" fontId="3" fillId="0" borderId="24" xfId="0" applyFont="1" applyBorder="1"/>
    <xf numFmtId="0" fontId="3" fillId="0" borderId="65" xfId="0" applyFont="1" applyBorder="1"/>
    <xf numFmtId="9" fontId="31" fillId="0" borderId="14" xfId="0" applyNumberFormat="1" applyFont="1" applyBorder="1" applyAlignment="1">
      <alignment horizontal="center" vertical="center"/>
    </xf>
    <xf numFmtId="0" fontId="56" fillId="0" borderId="14" xfId="0" applyFont="1" applyBorder="1" applyAlignment="1">
      <alignment horizontal="center" vertical="center"/>
    </xf>
    <xf numFmtId="49" fontId="36" fillId="0" borderId="14" xfId="0" applyNumberFormat="1" applyFont="1" applyBorder="1" applyAlignment="1">
      <alignment horizontal="center" vertical="center" wrapText="1"/>
    </xf>
    <xf numFmtId="1" fontId="31" fillId="0" borderId="14" xfId="0" applyNumberFormat="1" applyFont="1" applyBorder="1" applyAlignment="1">
      <alignment horizontal="center" vertical="center" wrapText="1"/>
    </xf>
    <xf numFmtId="0" fontId="31" fillId="0" borderId="49" xfId="0" applyFont="1" applyBorder="1" applyAlignment="1">
      <alignment horizontal="left" vertical="center" wrapText="1"/>
    </xf>
    <xf numFmtId="0" fontId="45" fillId="0" borderId="14" xfId="0" applyFont="1" applyBorder="1" applyAlignment="1">
      <alignment horizontal="center" vertical="center"/>
    </xf>
    <xf numFmtId="0" fontId="31" fillId="0" borderId="30" xfId="0" applyFont="1" applyBorder="1" applyAlignment="1">
      <alignment vertical="center" wrapText="1"/>
    </xf>
    <xf numFmtId="0" fontId="31" fillId="0" borderId="30" xfId="0" applyFont="1" applyBorder="1" applyAlignment="1">
      <alignment vertical="center"/>
    </xf>
    <xf numFmtId="0" fontId="31" fillId="0" borderId="31" xfId="0" applyFont="1" applyBorder="1" applyAlignment="1">
      <alignment vertical="center"/>
    </xf>
    <xf numFmtId="0" fontId="36" fillId="0" borderId="30" xfId="0" applyFont="1" applyBorder="1" applyAlignment="1">
      <alignment horizontal="left" vertical="center" wrapText="1"/>
    </xf>
    <xf numFmtId="0" fontId="31" fillId="0" borderId="31" xfId="0" applyFont="1" applyBorder="1" applyAlignment="1">
      <alignment horizontal="left" vertical="center" wrapText="1"/>
    </xf>
    <xf numFmtId="0" fontId="25" fillId="0" borderId="31" xfId="0" applyFont="1" applyBorder="1" applyAlignment="1">
      <alignment vertical="center"/>
    </xf>
    <xf numFmtId="0" fontId="31" fillId="0" borderId="31" xfId="0" applyFont="1" applyBorder="1" applyAlignment="1">
      <alignment vertical="center" wrapText="1"/>
    </xf>
    <xf numFmtId="9" fontId="31" fillId="0" borderId="30" xfId="0" applyNumberFormat="1" applyFont="1" applyBorder="1" applyAlignment="1">
      <alignment horizontal="center" vertical="center"/>
    </xf>
    <xf numFmtId="0" fontId="4" fillId="0" borderId="6" xfId="44" applyFont="1" applyBorder="1" applyAlignment="1">
      <alignment horizontal="center" vertical="center" wrapText="1"/>
    </xf>
    <xf numFmtId="0" fontId="4" fillId="0" borderId="6" xfId="38" applyFont="1" applyBorder="1" applyAlignment="1">
      <alignment horizontal="center" vertical="center" wrapText="1"/>
    </xf>
    <xf numFmtId="0" fontId="4" fillId="0" borderId="6" xfId="43" applyFont="1" applyBorder="1" applyAlignment="1">
      <alignment horizontal="center" vertical="center" wrapText="1"/>
    </xf>
    <xf numFmtId="0" fontId="97" fillId="0" borderId="15" xfId="0" applyFont="1" applyBorder="1"/>
    <xf numFmtId="0" fontId="97" fillId="0" borderId="13" xfId="0" applyFont="1" applyBorder="1"/>
    <xf numFmtId="9" fontId="31" fillId="0" borderId="14" xfId="0" applyNumberFormat="1" applyFont="1" applyBorder="1" applyAlignment="1">
      <alignment horizontal="center" vertical="center" wrapText="1"/>
    </xf>
    <xf numFmtId="0" fontId="2" fillId="0" borderId="2" xfId="43" applyFont="1" applyBorder="1" applyAlignment="1">
      <alignment horizontal="center" vertical="center"/>
    </xf>
    <xf numFmtId="14" fontId="31" fillId="0" borderId="14" xfId="0" applyNumberFormat="1" applyFont="1" applyBorder="1" applyAlignment="1">
      <alignment horizontal="center" vertical="center" wrapText="1"/>
    </xf>
    <xf numFmtId="0" fontId="59" fillId="6" borderId="14" xfId="0" applyFont="1" applyFill="1" applyBorder="1" applyAlignment="1">
      <alignment horizontal="center" vertical="center"/>
    </xf>
    <xf numFmtId="0" fontId="59" fillId="6" borderId="14" xfId="0" applyFont="1" applyFill="1" applyBorder="1" applyAlignment="1">
      <alignment horizontal="left" vertical="center" wrapText="1"/>
    </xf>
    <xf numFmtId="0" fontId="59" fillId="6" borderId="14" xfId="0" applyFont="1" applyFill="1" applyBorder="1" applyAlignment="1">
      <alignment horizontal="center"/>
    </xf>
    <xf numFmtId="0" fontId="48" fillId="0" borderId="22" xfId="0" applyFont="1" applyBorder="1" applyAlignment="1">
      <alignment horizontal="center" vertical="center" wrapText="1"/>
    </xf>
    <xf numFmtId="0" fontId="48" fillId="0" borderId="23" xfId="0" applyFont="1" applyBorder="1" applyAlignment="1">
      <alignment horizontal="center" vertical="center" wrapText="1"/>
    </xf>
    <xf numFmtId="0" fontId="46" fillId="0" borderId="11" xfId="0" applyFont="1" applyBorder="1" applyAlignment="1">
      <alignment horizontal="center" vertical="center" wrapText="1"/>
    </xf>
    <xf numFmtId="0" fontId="47" fillId="0" borderId="11" xfId="0" applyFont="1" applyBorder="1" applyAlignment="1">
      <alignment vertical="center"/>
    </xf>
    <xf numFmtId="0" fontId="59" fillId="0" borderId="14" xfId="0" applyFont="1" applyBorder="1" applyAlignment="1">
      <alignment horizontal="center"/>
    </xf>
    <xf numFmtId="0" fontId="126" fillId="6" borderId="14" xfId="0" applyFont="1" applyFill="1" applyBorder="1" applyAlignment="1">
      <alignment horizontal="left" vertical="center" wrapText="1"/>
    </xf>
    <xf numFmtId="0" fontId="59" fillId="6" borderId="15" xfId="0" applyFont="1" applyFill="1" applyBorder="1" applyAlignment="1">
      <alignment wrapText="1"/>
    </xf>
    <xf numFmtId="0" fontId="59" fillId="6" borderId="14" xfId="0" applyFont="1" applyFill="1" applyBorder="1" applyAlignment="1">
      <alignment wrapText="1"/>
    </xf>
    <xf numFmtId="1" fontId="125" fillId="6" borderId="14" xfId="0" applyNumberFormat="1" applyFont="1" applyFill="1" applyBorder="1" applyAlignment="1">
      <alignment horizontal="center"/>
    </xf>
    <xf numFmtId="0" fontId="59" fillId="6" borderId="15" xfId="0" applyFont="1" applyFill="1" applyBorder="1" applyAlignment="1">
      <alignment vertical="center" wrapText="1"/>
    </xf>
    <xf numFmtId="0" fontId="59" fillId="0" borderId="14" xfId="0" applyFont="1" applyBorder="1" applyAlignment="1">
      <alignment horizontal="left" vertical="center" wrapText="1"/>
    </xf>
    <xf numFmtId="0" fontId="59" fillId="0" borderId="15" xfId="0" applyFont="1" applyBorder="1" applyAlignment="1">
      <alignment wrapText="1"/>
    </xf>
    <xf numFmtId="0" fontId="59" fillId="6" borderId="14" xfId="0" applyFont="1" applyFill="1" applyBorder="1" applyAlignment="1">
      <alignment horizontal="center" vertical="center" wrapText="1"/>
    </xf>
    <xf numFmtId="0" fontId="59" fillId="6" borderId="14" xfId="0" applyFont="1" applyFill="1" applyBorder="1" applyAlignment="1">
      <alignment horizontal="center" wrapText="1"/>
    </xf>
    <xf numFmtId="0" fontId="59" fillId="0" borderId="14" xfId="0" applyFont="1" applyBorder="1" applyAlignment="1">
      <alignment wrapText="1"/>
    </xf>
    <xf numFmtId="0" fontId="59" fillId="6" borderId="15" xfId="0" applyFont="1" applyFill="1" applyBorder="1" applyAlignment="1">
      <alignment horizontal="center" wrapText="1"/>
    </xf>
    <xf numFmtId="0" fontId="59" fillId="8" borderId="0" xfId="0" applyFont="1" applyFill="1" applyAlignment="1">
      <alignment horizontal="center" vertical="center"/>
    </xf>
    <xf numFmtId="0" fontId="109" fillId="0" borderId="0" xfId="0" applyFont="1"/>
    <xf numFmtId="0" fontId="4" fillId="0" borderId="1" xfId="39" applyFont="1" applyBorder="1" applyAlignment="1" applyProtection="1">
      <alignment horizontal="center" vertical="center" wrapText="1"/>
      <protection hidden="1"/>
    </xf>
    <xf numFmtId="0" fontId="4" fillId="0" borderId="1" xfId="44" applyFont="1" applyBorder="1" applyAlignment="1" applyProtection="1">
      <alignment horizontal="center" vertical="center" wrapText="1"/>
      <protection hidden="1"/>
    </xf>
    <xf numFmtId="0" fontId="4" fillId="0" borderId="1" xfId="43" applyFont="1" applyBorder="1" applyAlignment="1" applyProtection="1">
      <alignment horizontal="center" vertical="center" wrapText="1"/>
      <protection hidden="1"/>
    </xf>
    <xf numFmtId="0" fontId="4" fillId="0" borderId="7" xfId="39" applyFont="1" applyBorder="1" applyAlignment="1" applyProtection="1">
      <alignment horizontal="center" vertical="center" wrapText="1"/>
      <protection hidden="1"/>
    </xf>
    <xf numFmtId="0" fontId="59" fillId="8" borderId="99" xfId="0" applyFont="1" applyFill="1" applyBorder="1" applyAlignment="1">
      <alignment horizontal="center" vertical="center" wrapText="1"/>
    </xf>
    <xf numFmtId="0" fontId="109" fillId="0" borderId="100" xfId="0" applyFont="1" applyBorder="1"/>
    <xf numFmtId="172" fontId="59" fillId="8" borderId="14" xfId="0" applyNumberFormat="1" applyFont="1" applyFill="1" applyBorder="1" applyAlignment="1">
      <alignment horizontal="center" vertical="center" wrapText="1"/>
    </xf>
    <xf numFmtId="0" fontId="109" fillId="0" borderId="101" xfId="0" applyFont="1" applyBorder="1"/>
    <xf numFmtId="0" fontId="59" fillId="8" borderId="99" xfId="0" applyFont="1" applyFill="1" applyBorder="1" applyAlignment="1">
      <alignment horizontal="center" vertical="center"/>
    </xf>
    <xf numFmtId="1" fontId="59" fillId="8" borderId="99" xfId="0" applyNumberFormat="1" applyFont="1" applyFill="1" applyBorder="1" applyAlignment="1">
      <alignment horizontal="center" vertical="center" wrapText="1"/>
    </xf>
    <xf numFmtId="0" fontId="59" fillId="14" borderId="99" xfId="0" applyFont="1" applyFill="1" applyBorder="1" applyAlignment="1">
      <alignment horizontal="center" vertical="center" wrapText="1"/>
    </xf>
    <xf numFmtId="0" fontId="59" fillId="14" borderId="99" xfId="0" applyFont="1" applyFill="1" applyBorder="1" applyAlignment="1">
      <alignment horizontal="center" vertical="center"/>
    </xf>
    <xf numFmtId="172" fontId="59" fillId="14" borderId="14" xfId="0" applyNumberFormat="1" applyFont="1" applyFill="1" applyBorder="1" applyAlignment="1">
      <alignment horizontal="center" vertical="center"/>
    </xf>
    <xf numFmtId="172" fontId="59" fillId="8" borderId="106" xfId="0" applyNumberFormat="1" applyFont="1" applyFill="1" applyBorder="1" applyAlignment="1">
      <alignment horizontal="center" vertical="center"/>
    </xf>
    <xf numFmtId="0" fontId="109" fillId="0" borderId="104" xfId="0" applyFont="1" applyBorder="1"/>
    <xf numFmtId="0" fontId="109" fillId="0" borderId="105" xfId="0" applyFont="1" applyBorder="1"/>
    <xf numFmtId="172" fontId="59" fillId="8" borderId="104" xfId="0" applyNumberFormat="1" applyFont="1" applyFill="1" applyBorder="1" applyAlignment="1">
      <alignment horizontal="center" vertical="center"/>
    </xf>
    <xf numFmtId="0" fontId="75" fillId="8" borderId="99" xfId="0" applyFont="1" applyFill="1" applyBorder="1" applyAlignment="1">
      <alignment horizontal="center" vertical="center" wrapText="1"/>
    </xf>
    <xf numFmtId="176" fontId="59" fillId="8" borderId="99" xfId="0" applyNumberFormat="1" applyFont="1" applyFill="1" applyBorder="1" applyAlignment="1">
      <alignment horizontal="left" vertical="center" wrapText="1"/>
    </xf>
    <xf numFmtId="3" fontId="59" fillId="8" borderId="99" xfId="0" applyNumberFormat="1" applyFont="1" applyFill="1" applyBorder="1" applyAlignment="1">
      <alignment horizontal="center" vertical="center" wrapText="1"/>
    </xf>
    <xf numFmtId="9" fontId="59" fillId="8" borderId="106" xfId="0" applyNumberFormat="1" applyFont="1" applyFill="1" applyBorder="1" applyAlignment="1">
      <alignment horizontal="center" vertical="center"/>
    </xf>
    <xf numFmtId="0" fontId="86" fillId="8" borderId="99" xfId="0" applyFont="1" applyFill="1" applyBorder="1" applyAlignment="1">
      <alignment horizontal="center" vertical="center"/>
    </xf>
    <xf numFmtId="0" fontId="59" fillId="8" borderId="99" xfId="0" applyFont="1" applyFill="1" applyBorder="1" applyAlignment="1">
      <alignment horizontal="left" vertical="center" wrapText="1"/>
    </xf>
    <xf numFmtId="0" fontId="60" fillId="8" borderId="99" xfId="0" applyFont="1" applyFill="1" applyBorder="1" applyAlignment="1">
      <alignment horizontal="center" vertical="center"/>
    </xf>
    <xf numFmtId="0" fontId="109" fillId="0" borderId="107" xfId="0" applyFont="1" applyBorder="1"/>
    <xf numFmtId="172" fontId="59" fillId="8" borderId="106" xfId="0" applyNumberFormat="1" applyFont="1" applyFill="1" applyBorder="1" applyAlignment="1">
      <alignment horizontal="center" vertical="center" wrapText="1"/>
    </xf>
    <xf numFmtId="9" fontId="59" fillId="8" borderId="99" xfId="0" applyNumberFormat="1" applyFont="1" applyFill="1" applyBorder="1" applyAlignment="1">
      <alignment horizontal="center" vertical="center" wrapText="1"/>
    </xf>
    <xf numFmtId="0" fontId="25" fillId="0" borderId="70" xfId="0" applyFont="1" applyBorder="1" applyAlignment="1">
      <alignment horizontal="center" vertical="center"/>
    </xf>
    <xf numFmtId="0" fontId="11" fillId="0" borderId="70" xfId="0" applyFont="1" applyBorder="1" applyAlignment="1">
      <alignment horizontal="center" vertical="center" wrapText="1"/>
    </xf>
    <xf numFmtId="0" fontId="11" fillId="0" borderId="70" xfId="0" applyFont="1" applyBorder="1" applyAlignment="1">
      <alignment horizontal="center" vertical="center"/>
    </xf>
    <xf numFmtId="0" fontId="11" fillId="0" borderId="70" xfId="0" applyFont="1" applyBorder="1" applyAlignment="1">
      <alignment horizontal="left" vertical="center" wrapText="1"/>
    </xf>
    <xf numFmtId="0" fontId="25" fillId="0" borderId="70" xfId="0" applyFont="1" applyBorder="1" applyAlignment="1">
      <alignment horizontal="left" vertical="center"/>
    </xf>
    <xf numFmtId="172" fontId="11" fillId="0" borderId="70" xfId="0" applyNumberFormat="1" applyFont="1" applyBorder="1" applyAlignment="1">
      <alignment horizontal="center" vertical="center" wrapText="1"/>
    </xf>
    <xf numFmtId="0" fontId="25" fillId="0" borderId="70" xfId="0" applyFont="1" applyBorder="1" applyAlignment="1">
      <alignment horizontal="center" vertical="center" wrapText="1"/>
    </xf>
    <xf numFmtId="0" fontId="25" fillId="0" borderId="70" xfId="0" applyFont="1" applyBorder="1" applyAlignment="1">
      <alignment vertical="center"/>
    </xf>
    <xf numFmtId="0" fontId="25" fillId="0" borderId="72" xfId="0" applyFont="1" applyBorder="1" applyAlignment="1">
      <alignment horizontal="center" vertical="center"/>
    </xf>
    <xf numFmtId="0" fontId="25" fillId="0" borderId="73" xfId="0" applyFont="1" applyBorder="1" applyAlignment="1">
      <alignment horizontal="center" vertical="center"/>
    </xf>
    <xf numFmtId="0" fontId="25" fillId="0" borderId="74" xfId="0" applyFont="1" applyBorder="1" applyAlignment="1">
      <alignment horizontal="center" vertical="center"/>
    </xf>
    <xf numFmtId="0" fontId="25" fillId="0" borderId="70" xfId="0" applyFont="1" applyBorder="1" applyAlignment="1">
      <alignment horizontal="left" vertical="center" wrapText="1"/>
    </xf>
    <xf numFmtId="172" fontId="25" fillId="0" borderId="70" xfId="0" applyNumberFormat="1" applyFont="1" applyBorder="1" applyAlignment="1">
      <alignment horizontal="center" vertical="center" wrapText="1"/>
    </xf>
    <xf numFmtId="1" fontId="25" fillId="0" borderId="70" xfId="0" applyNumberFormat="1" applyFont="1" applyBorder="1" applyAlignment="1">
      <alignment horizontal="center" vertical="center" wrapText="1"/>
    </xf>
    <xf numFmtId="0" fontId="0" fillId="0" borderId="72" xfId="0" applyBorder="1" applyAlignment="1">
      <alignment horizontal="center"/>
    </xf>
    <xf numFmtId="0" fontId="0" fillId="0" borderId="73" xfId="0" applyBorder="1" applyAlignment="1">
      <alignment horizontal="center"/>
    </xf>
    <xf numFmtId="0" fontId="0" fillId="0" borderId="74" xfId="0" applyBorder="1" applyAlignment="1">
      <alignment horizontal="center"/>
    </xf>
    <xf numFmtId="0" fontId="25" fillId="0" borderId="72" xfId="0" applyFont="1" applyBorder="1" applyAlignment="1">
      <alignment horizontal="center" vertical="center" wrapText="1"/>
    </xf>
    <xf numFmtId="0" fontId="25" fillId="0" borderId="74" xfId="0" applyFont="1" applyBorder="1" applyAlignment="1">
      <alignment horizontal="center" vertical="center" wrapText="1"/>
    </xf>
    <xf numFmtId="0" fontId="8" fillId="0" borderId="72" xfId="0" applyFont="1" applyBorder="1" applyAlignment="1">
      <alignment horizontal="center" vertical="center" wrapText="1"/>
    </xf>
    <xf numFmtId="0" fontId="8" fillId="0" borderId="74" xfId="0" applyFont="1" applyBorder="1" applyAlignment="1">
      <alignment horizontal="center" vertical="center" wrapText="1"/>
    </xf>
    <xf numFmtId="0" fontId="25" fillId="0" borderId="72" xfId="0" applyFont="1" applyBorder="1" applyAlignment="1">
      <alignment horizontal="left" vertical="center" wrapText="1"/>
    </xf>
    <xf numFmtId="0" fontId="25" fillId="0" borderId="73" xfId="0" applyFont="1" applyBorder="1" applyAlignment="1">
      <alignment horizontal="left" vertical="center" wrapText="1"/>
    </xf>
    <xf numFmtId="0" fontId="25" fillId="0" borderId="74" xfId="0" applyFont="1" applyBorder="1" applyAlignment="1">
      <alignment horizontal="left" vertical="center" wrapText="1"/>
    </xf>
    <xf numFmtId="172" fontId="25" fillId="0" borderId="72" xfId="79" applyNumberFormat="1" applyFont="1" applyFill="1" applyBorder="1" applyAlignment="1">
      <alignment horizontal="center" vertical="center"/>
    </xf>
    <xf numFmtId="172" fontId="25" fillId="0" borderId="73" xfId="79" applyNumberFormat="1" applyFont="1" applyFill="1" applyBorder="1" applyAlignment="1">
      <alignment horizontal="center" vertical="center"/>
    </xf>
    <xf numFmtId="172" fontId="25" fillId="0" borderId="74" xfId="79" applyNumberFormat="1" applyFont="1" applyFill="1" applyBorder="1" applyAlignment="1">
      <alignment horizontal="center" vertical="center"/>
    </xf>
    <xf numFmtId="0" fontId="25" fillId="0" borderId="73" xfId="0" applyFont="1" applyBorder="1" applyAlignment="1">
      <alignment horizontal="center" vertical="center" wrapText="1"/>
    </xf>
    <xf numFmtId="172" fontId="25" fillId="0" borderId="70" xfId="79" applyNumberFormat="1" applyFont="1" applyFill="1" applyBorder="1" applyAlignment="1">
      <alignment horizontal="center" vertical="center"/>
    </xf>
    <xf numFmtId="172" fontId="25" fillId="0" borderId="72" xfId="0" applyNumberFormat="1" applyFont="1" applyBorder="1" applyAlignment="1">
      <alignment horizontal="center" vertical="center" wrapText="1"/>
    </xf>
    <xf numFmtId="172" fontId="25" fillId="0" borderId="73" xfId="0" applyNumberFormat="1" applyFont="1" applyBorder="1" applyAlignment="1">
      <alignment horizontal="center" vertical="center" wrapText="1"/>
    </xf>
    <xf numFmtId="172" fontId="25" fillId="0" borderId="74" xfId="0" applyNumberFormat="1" applyFont="1" applyBorder="1" applyAlignment="1">
      <alignment horizontal="center" vertical="center" wrapText="1"/>
    </xf>
    <xf numFmtId="1" fontId="25" fillId="0" borderId="72" xfId="0" applyNumberFormat="1" applyFont="1" applyBorder="1" applyAlignment="1">
      <alignment horizontal="center" vertical="center" wrapText="1"/>
    </xf>
    <xf numFmtId="1" fontId="25" fillId="0" borderId="74" xfId="0" applyNumberFormat="1" applyFont="1" applyBorder="1" applyAlignment="1">
      <alignment horizontal="center" vertical="center" wrapText="1"/>
    </xf>
    <xf numFmtId="1" fontId="25" fillId="0" borderId="73" xfId="0" applyNumberFormat="1" applyFont="1" applyBorder="1" applyAlignment="1">
      <alignment horizontal="center" vertical="center" wrapText="1"/>
    </xf>
    <xf numFmtId="0" fontId="2" fillId="0" borderId="72" xfId="0" applyFont="1" applyBorder="1" applyAlignment="1">
      <alignment horizontal="center" vertical="center"/>
    </xf>
    <xf numFmtId="0" fontId="2" fillId="0" borderId="74" xfId="0" applyFont="1" applyBorder="1" applyAlignment="1">
      <alignment horizontal="center" vertical="center"/>
    </xf>
    <xf numFmtId="14" fontId="25" fillId="0" borderId="72" xfId="0" applyNumberFormat="1" applyFont="1" applyBorder="1" applyAlignment="1">
      <alignment horizontal="center" vertical="center" wrapText="1"/>
    </xf>
    <xf numFmtId="14" fontId="25" fillId="0" borderId="74" xfId="0" applyNumberFormat="1" applyFont="1" applyBorder="1" applyAlignment="1">
      <alignment horizontal="center" vertical="center" wrapText="1"/>
    </xf>
    <xf numFmtId="0" fontId="25" fillId="0" borderId="71" xfId="0" applyFont="1" applyBorder="1" applyAlignment="1">
      <alignment horizontal="center" vertical="center"/>
    </xf>
    <xf numFmtId="3" fontId="25" fillId="0" borderId="72" xfId="0" applyNumberFormat="1" applyFont="1" applyBorder="1" applyAlignment="1">
      <alignment horizontal="center" vertical="center" wrapText="1"/>
    </xf>
    <xf numFmtId="3" fontId="25" fillId="0" borderId="73" xfId="0" applyNumberFormat="1" applyFont="1" applyBorder="1" applyAlignment="1">
      <alignment horizontal="center" vertical="center" wrapText="1"/>
    </xf>
    <xf numFmtId="3" fontId="25" fillId="0" borderId="74" xfId="0" applyNumberFormat="1" applyFont="1" applyBorder="1" applyAlignment="1">
      <alignment horizontal="center" vertical="center" wrapText="1"/>
    </xf>
    <xf numFmtId="172" fontId="25" fillId="0" borderId="70" xfId="65" applyNumberFormat="1" applyFont="1" applyFill="1" applyBorder="1" applyAlignment="1">
      <alignment horizontal="center" vertical="center"/>
    </xf>
    <xf numFmtId="0" fontId="25" fillId="0" borderId="72" xfId="0" applyFont="1" applyBorder="1" applyAlignment="1">
      <alignment horizontal="center" vertical="top" wrapText="1"/>
    </xf>
    <xf numFmtId="0" fontId="25" fillId="0" borderId="73" xfId="0" applyFont="1" applyBorder="1" applyAlignment="1">
      <alignment horizontal="center" vertical="top" wrapText="1"/>
    </xf>
    <xf numFmtId="0" fontId="25" fillId="0" borderId="71" xfId="0" applyFont="1" applyBorder="1" applyAlignment="1">
      <alignment horizontal="left" vertical="center"/>
    </xf>
    <xf numFmtId="0" fontId="25" fillId="0" borderId="71" xfId="0" applyFont="1" applyBorder="1" applyAlignment="1">
      <alignment vertical="center"/>
    </xf>
    <xf numFmtId="0" fontId="39" fillId="0" borderId="14" xfId="0" applyFont="1" applyBorder="1" applyAlignment="1">
      <alignment horizontal="center" vertical="center"/>
    </xf>
    <xf numFmtId="0" fontId="39" fillId="0" borderId="13" xfId="0" applyFont="1" applyBorder="1" applyAlignment="1">
      <alignment horizontal="center" vertical="center"/>
    </xf>
    <xf numFmtId="0" fontId="39" fillId="0" borderId="14" xfId="0" applyFont="1" applyBorder="1" applyAlignment="1">
      <alignment horizontal="center" vertical="center" wrapText="1"/>
    </xf>
    <xf numFmtId="0" fontId="39" fillId="0" borderId="13" xfId="0" applyFont="1" applyBorder="1" applyAlignment="1">
      <alignment horizontal="center" vertical="center" wrapText="1"/>
    </xf>
    <xf numFmtId="0" fontId="39" fillId="0" borderId="15" xfId="0" applyFont="1" applyBorder="1" applyAlignment="1">
      <alignment horizontal="center" vertical="center"/>
    </xf>
    <xf numFmtId="0" fontId="39" fillId="0" borderId="15" xfId="0" applyFont="1" applyBorder="1" applyAlignment="1">
      <alignment horizontal="center" vertical="center" wrapText="1"/>
    </xf>
    <xf numFmtId="172" fontId="39" fillId="0" borderId="14" xfId="63" applyNumberFormat="1" applyFont="1" applyFill="1" applyBorder="1" applyAlignment="1">
      <alignment horizontal="center" vertical="center" wrapText="1"/>
    </xf>
    <xf numFmtId="172" fontId="39" fillId="0" borderId="15" xfId="63" applyNumberFormat="1" applyFont="1" applyFill="1" applyBorder="1" applyAlignment="1">
      <alignment horizontal="center" vertical="center" wrapText="1"/>
    </xf>
    <xf numFmtId="172" fontId="39" fillId="0" borderId="13" xfId="63" applyNumberFormat="1" applyFont="1" applyFill="1" applyBorder="1" applyAlignment="1">
      <alignment horizontal="center" vertical="center" wrapText="1"/>
    </xf>
    <xf numFmtId="0" fontId="0" fillId="0" borderId="14" xfId="0" applyBorder="1" applyAlignment="1">
      <alignment horizontal="center"/>
    </xf>
    <xf numFmtId="0" fontId="0" fillId="0" borderId="15" xfId="0" applyBorder="1" applyAlignment="1">
      <alignment horizontal="center"/>
    </xf>
    <xf numFmtId="0" fontId="0" fillId="0" borderId="13" xfId="0" applyBorder="1" applyAlignment="1">
      <alignment horizontal="center"/>
    </xf>
    <xf numFmtId="1" fontId="39" fillId="0" borderId="14" xfId="0" applyNumberFormat="1" applyFont="1" applyBorder="1" applyAlignment="1">
      <alignment horizontal="center" vertical="center" wrapText="1"/>
    </xf>
    <xf numFmtId="1" fontId="39" fillId="0" borderId="15" xfId="0" applyNumberFormat="1" applyFont="1" applyBorder="1" applyAlignment="1">
      <alignment horizontal="center" vertical="center" wrapText="1"/>
    </xf>
    <xf numFmtId="1" fontId="39" fillId="0" borderId="13" xfId="0" applyNumberFormat="1" applyFont="1" applyBorder="1" applyAlignment="1">
      <alignment horizontal="center" vertical="center" wrapText="1"/>
    </xf>
    <xf numFmtId="0" fontId="4" fillId="0" borderId="1" xfId="45" applyFont="1" applyBorder="1" applyAlignment="1">
      <alignment horizontal="center" vertical="center" wrapText="1"/>
    </xf>
    <xf numFmtId="0" fontId="4" fillId="0" borderId="6" xfId="45" applyFont="1" applyBorder="1" applyAlignment="1">
      <alignment horizontal="center" vertical="center" wrapText="1"/>
    </xf>
    <xf numFmtId="0" fontId="4" fillId="0" borderId="6" xfId="49" applyFont="1" applyBorder="1" applyAlignment="1">
      <alignment horizontal="center" vertical="center" wrapText="1"/>
    </xf>
    <xf numFmtId="0" fontId="4" fillId="0" borderId="0" xfId="49" applyFont="1" applyAlignment="1">
      <alignment horizontal="center" vertical="center" wrapText="1"/>
    </xf>
    <xf numFmtId="0" fontId="5" fillId="0" borderId="20" xfId="44" applyFont="1" applyBorder="1" applyAlignment="1">
      <alignment horizontal="center" vertical="center" wrapText="1"/>
    </xf>
    <xf numFmtId="0" fontId="5" fillId="0" borderId="1" xfId="44" applyFont="1" applyBorder="1" applyAlignment="1">
      <alignment horizontal="center" vertical="center" wrapText="1"/>
    </xf>
    <xf numFmtId="0" fontId="4" fillId="0" borderId="0" xfId="38" applyFont="1" applyAlignment="1">
      <alignment horizontal="center" vertical="center" wrapText="1"/>
    </xf>
    <xf numFmtId="0" fontId="4" fillId="0" borderId="0" xfId="44" applyFont="1" applyAlignment="1">
      <alignment horizontal="center" vertical="center" wrapText="1"/>
    </xf>
    <xf numFmtId="172" fontId="39" fillId="0" borderId="14" xfId="63" applyNumberFormat="1" applyFont="1" applyFill="1" applyBorder="1" applyAlignment="1">
      <alignment horizontal="center" vertical="center"/>
    </xf>
    <xf numFmtId="172" fontId="39" fillId="0" borderId="13" xfId="63" applyNumberFormat="1" applyFont="1" applyFill="1" applyBorder="1" applyAlignment="1">
      <alignment horizontal="center" vertical="center"/>
    </xf>
    <xf numFmtId="9" fontId="4" fillId="0" borderId="6" xfId="79" applyFont="1" applyFill="1" applyBorder="1" applyAlignment="1">
      <alignment horizontal="center" vertical="center" wrapText="1"/>
    </xf>
    <xf numFmtId="0" fontId="4" fillId="0" borderId="6" xfId="40" applyFont="1" applyBorder="1" applyAlignment="1">
      <alignment horizontal="center" vertical="center" wrapText="1"/>
    </xf>
    <xf numFmtId="0" fontId="4" fillId="0" borderId="2" xfId="40" applyFont="1" applyBorder="1" applyAlignment="1">
      <alignment horizontal="center" vertical="center" wrapText="1"/>
    </xf>
    <xf numFmtId="3" fontId="4" fillId="0" borderId="6" xfId="49" applyNumberFormat="1" applyFont="1" applyBorder="1" applyAlignment="1">
      <alignment horizontal="center" vertical="center" wrapText="1"/>
    </xf>
    <xf numFmtId="3" fontId="4" fillId="0" borderId="2" xfId="49" applyNumberFormat="1" applyFont="1" applyBorder="1" applyAlignment="1">
      <alignment horizontal="center" vertical="center" wrapText="1"/>
    </xf>
    <xf numFmtId="3" fontId="4" fillId="0" borderId="6" xfId="40" applyNumberFormat="1" applyFont="1" applyBorder="1" applyAlignment="1">
      <alignment horizontal="center" vertical="center" wrapText="1"/>
    </xf>
    <xf numFmtId="3" fontId="4" fillId="0" borderId="2" xfId="40" applyNumberFormat="1" applyFont="1" applyBorder="1" applyAlignment="1">
      <alignment horizontal="center" vertical="center" wrapText="1"/>
    </xf>
    <xf numFmtId="9" fontId="4" fillId="0" borderId="6" xfId="40" applyNumberFormat="1" applyFont="1" applyBorder="1" applyAlignment="1">
      <alignment horizontal="center" vertical="center" wrapText="1"/>
    </xf>
    <xf numFmtId="9" fontId="4" fillId="0" borderId="2" xfId="40" applyNumberFormat="1" applyFont="1" applyBorder="1" applyAlignment="1">
      <alignment horizontal="center" vertical="center" wrapText="1"/>
    </xf>
    <xf numFmtId="0" fontId="4" fillId="0" borderId="2" xfId="49" applyFont="1" applyBorder="1" applyAlignment="1">
      <alignment horizontal="center" vertical="center" wrapText="1"/>
    </xf>
    <xf numFmtId="1" fontId="4" fillId="0" borderId="1" xfId="44" applyNumberFormat="1" applyFont="1" applyBorder="1" applyAlignment="1">
      <alignment horizontal="center" vertical="center" wrapText="1"/>
    </xf>
    <xf numFmtId="0" fontId="74" fillId="0" borderId="53" xfId="0" applyFont="1" applyBorder="1"/>
    <xf numFmtId="0" fontId="74" fillId="0" borderId="48" xfId="0" applyFont="1" applyBorder="1"/>
    <xf numFmtId="0" fontId="4" fillId="0" borderId="16" xfId="49" applyFont="1" applyBorder="1" applyAlignment="1">
      <alignment horizontal="center" vertical="center" wrapText="1"/>
    </xf>
    <xf numFmtId="0" fontId="4" fillId="0" borderId="17" xfId="49" applyFont="1" applyBorder="1" applyAlignment="1">
      <alignment horizontal="center" vertical="center" wrapText="1"/>
    </xf>
    <xf numFmtId="0" fontId="4" fillId="0" borderId="8" xfId="40" applyFont="1" applyBorder="1" applyAlignment="1">
      <alignment horizontal="center" vertical="center" wrapText="1"/>
    </xf>
    <xf numFmtId="0" fontId="4" fillId="0" borderId="1" xfId="44" applyFont="1" applyBorder="1" applyAlignment="1">
      <alignment horizontal="justify" vertical="center" wrapText="1"/>
    </xf>
    <xf numFmtId="9" fontId="4" fillId="0" borderId="6" xfId="44" applyNumberFormat="1" applyFont="1" applyBorder="1" applyAlignment="1">
      <alignment horizontal="center" vertical="center" wrapText="1"/>
    </xf>
    <xf numFmtId="9" fontId="4" fillId="0" borderId="2" xfId="44" applyNumberFormat="1" applyFont="1" applyBorder="1" applyAlignment="1">
      <alignment horizontal="center" vertical="center" wrapText="1"/>
    </xf>
    <xf numFmtId="1" fontId="4" fillId="0" borderId="6" xfId="40" applyNumberFormat="1" applyFont="1" applyBorder="1" applyAlignment="1">
      <alignment horizontal="center" vertical="center" wrapText="1"/>
    </xf>
    <xf numFmtId="1" fontId="4" fillId="0" borderId="2" xfId="40" applyNumberFormat="1" applyFont="1" applyBorder="1" applyAlignment="1">
      <alignment horizontal="center" vertical="center" wrapText="1"/>
    </xf>
    <xf numFmtId="9" fontId="59" fillId="0" borderId="14" xfId="0" applyNumberFormat="1" applyFont="1" applyBorder="1" applyAlignment="1">
      <alignment horizontal="center" vertical="center"/>
    </xf>
    <xf numFmtId="0" fontId="59" fillId="0" borderId="14" xfId="0" applyFont="1" applyBorder="1" applyAlignment="1">
      <alignment horizontal="left" wrapText="1"/>
    </xf>
    <xf numFmtId="0" fontId="60" fillId="0" borderId="14" xfId="0" applyFont="1" applyBorder="1" applyAlignment="1">
      <alignment horizontal="center" vertical="center"/>
    </xf>
    <xf numFmtId="3" fontId="59" fillId="0" borderId="14" xfId="0" applyNumberFormat="1" applyFont="1" applyBorder="1" applyAlignment="1">
      <alignment horizontal="center" vertical="center"/>
    </xf>
    <xf numFmtId="0" fontId="6" fillId="0" borderId="20" xfId="44" applyFont="1" applyBorder="1" applyAlignment="1">
      <alignment horizontal="center" vertical="center" wrapText="1"/>
    </xf>
    <xf numFmtId="3" fontId="4" fillId="0" borderId="20" xfId="39" applyNumberFormat="1" applyFont="1" applyBorder="1" applyAlignment="1">
      <alignment horizontal="center" vertical="center" wrapText="1"/>
    </xf>
    <xf numFmtId="3" fontId="4" fillId="0" borderId="28" xfId="39" applyNumberFormat="1" applyFont="1" applyBorder="1" applyAlignment="1">
      <alignment horizontal="center" vertical="center" wrapText="1"/>
    </xf>
    <xf numFmtId="4" fontId="4" fillId="0" borderId="20" xfId="44" applyNumberFormat="1" applyFont="1" applyBorder="1" applyAlignment="1">
      <alignment horizontal="center" vertical="center" wrapText="1"/>
    </xf>
    <xf numFmtId="4" fontId="4" fillId="0" borderId="28" xfId="44" applyNumberFormat="1" applyFont="1" applyBorder="1" applyAlignment="1">
      <alignment horizontal="center" vertical="center" wrapText="1"/>
    </xf>
    <xf numFmtId="172" fontId="4" fillId="0" borderId="20" xfId="44" applyNumberFormat="1" applyFont="1" applyBorder="1" applyAlignment="1">
      <alignment horizontal="center" vertical="center" wrapText="1"/>
    </xf>
    <xf numFmtId="172" fontId="4" fillId="0" borderId="28" xfId="44" applyNumberFormat="1" applyFont="1" applyBorder="1" applyAlignment="1">
      <alignment horizontal="center" vertical="center" wrapText="1"/>
    </xf>
    <xf numFmtId="172" fontId="4" fillId="0" borderId="20" xfId="39" applyNumberFormat="1" applyFont="1" applyBorder="1" applyAlignment="1">
      <alignment horizontal="center" vertical="center" wrapText="1"/>
    </xf>
    <xf numFmtId="172" fontId="4" fillId="0" borderId="28" xfId="39" applyNumberFormat="1" applyFont="1" applyBorder="1" applyAlignment="1">
      <alignment horizontal="center" vertical="center" wrapText="1"/>
    </xf>
    <xf numFmtId="2" fontId="4" fillId="0" borderId="20" xfId="44" applyNumberFormat="1" applyFont="1" applyBorder="1" applyAlignment="1">
      <alignment horizontal="center" vertical="center" wrapText="1"/>
    </xf>
    <xf numFmtId="2" fontId="4" fillId="0" borderId="28" xfId="44" applyNumberFormat="1" applyFont="1" applyBorder="1" applyAlignment="1">
      <alignment horizontal="center" vertical="center" wrapText="1"/>
    </xf>
    <xf numFmtId="0" fontId="4" fillId="0" borderId="20" xfId="44" applyFont="1" applyBorder="1" applyAlignment="1">
      <alignment horizontal="left" vertical="center" wrapText="1"/>
    </xf>
    <xf numFmtId="0" fontId="4" fillId="0" borderId="28" xfId="44" applyFont="1" applyBorder="1" applyAlignment="1">
      <alignment horizontal="left" vertical="center" wrapText="1"/>
    </xf>
    <xf numFmtId="2" fontId="4" fillId="0" borderId="20" xfId="39" applyNumberFormat="1" applyFont="1" applyBorder="1" applyAlignment="1">
      <alignment horizontal="center" vertical="center" wrapText="1"/>
    </xf>
    <xf numFmtId="2" fontId="4" fillId="0" borderId="28" xfId="39" applyNumberFormat="1" applyFont="1" applyBorder="1" applyAlignment="1">
      <alignment horizontal="center" vertical="center" wrapText="1"/>
    </xf>
    <xf numFmtId="3" fontId="4" fillId="0" borderId="20" xfId="44" applyNumberFormat="1" applyFont="1" applyBorder="1" applyAlignment="1">
      <alignment horizontal="center" vertical="center" wrapText="1"/>
    </xf>
    <xf numFmtId="3" fontId="4" fillId="0" borderId="28" xfId="44" applyNumberFormat="1" applyFont="1" applyBorder="1" applyAlignment="1">
      <alignment horizontal="center" vertical="center" wrapText="1"/>
    </xf>
    <xf numFmtId="0" fontId="4" fillId="0" borderId="20" xfId="39" applyFont="1" applyBorder="1" applyAlignment="1">
      <alignment horizontal="left" vertical="center" wrapText="1"/>
    </xf>
    <xf numFmtId="0" fontId="4" fillId="0" borderId="28" xfId="39" applyFont="1" applyBorder="1" applyAlignment="1">
      <alignment horizontal="left" vertical="center" wrapText="1"/>
    </xf>
    <xf numFmtId="0" fontId="6" fillId="0" borderId="20" xfId="39" applyFont="1" applyBorder="1" applyAlignment="1">
      <alignment horizontal="center" vertical="center" wrapText="1"/>
    </xf>
    <xf numFmtId="0" fontId="25" fillId="0" borderId="110" xfId="38" applyFont="1" applyBorder="1" applyAlignment="1">
      <alignment horizontal="center" vertical="center" wrapText="1"/>
    </xf>
    <xf numFmtId="0" fontId="25" fillId="0" borderId="110" xfId="45" applyFont="1" applyBorder="1" applyAlignment="1">
      <alignment horizontal="center" vertical="center" wrapText="1"/>
    </xf>
    <xf numFmtId="0" fontId="25" fillId="0" borderId="110" xfId="45" applyFont="1" applyBorder="1" applyAlignment="1">
      <alignment vertical="center" wrapText="1"/>
    </xf>
    <xf numFmtId="10" fontId="25" fillId="0" borderId="110" xfId="69" applyNumberFormat="1" applyFont="1" applyFill="1" applyBorder="1" applyAlignment="1">
      <alignment horizontal="center" vertical="center" wrapText="1"/>
    </xf>
    <xf numFmtId="172" fontId="25" fillId="0" borderId="110" xfId="69" applyNumberFormat="1" applyFont="1" applyFill="1" applyBorder="1" applyAlignment="1">
      <alignment horizontal="center" vertical="center" wrapText="1"/>
    </xf>
    <xf numFmtId="0" fontId="31" fillId="0" borderId="110" xfId="0" applyFont="1" applyBorder="1" applyAlignment="1">
      <alignment horizontal="center" vertical="center" wrapText="1"/>
    </xf>
    <xf numFmtId="0" fontId="25" fillId="0" borderId="110" xfId="45" applyFont="1" applyBorder="1" applyAlignment="1">
      <alignment horizontal="left" vertical="center" wrapText="1"/>
    </xf>
    <xf numFmtId="0" fontId="8" fillId="0" borderId="110" xfId="45" applyFont="1" applyBorder="1" applyAlignment="1">
      <alignment horizontal="center" vertical="center" wrapText="1"/>
    </xf>
    <xf numFmtId="0" fontId="6" fillId="2" borderId="5" xfId="44" applyFont="1" applyFill="1" applyBorder="1" applyAlignment="1">
      <alignment horizontal="center" vertical="center" wrapText="1"/>
    </xf>
    <xf numFmtId="0" fontId="6" fillId="2" borderId="3" xfId="44" applyFont="1" applyFill="1" applyBorder="1" applyAlignment="1">
      <alignment horizontal="center" vertical="center" wrapText="1"/>
    </xf>
    <xf numFmtId="0" fontId="6" fillId="2" borderId="4" xfId="44" applyFont="1" applyFill="1" applyBorder="1" applyAlignment="1">
      <alignment horizontal="center" vertical="center" wrapText="1"/>
    </xf>
    <xf numFmtId="0" fontId="31" fillId="0" borderId="10" xfId="0" applyFont="1" applyBorder="1" applyAlignment="1">
      <alignment horizontal="center" vertical="center" wrapText="1"/>
    </xf>
    <xf numFmtId="0" fontId="40" fillId="0" borderId="10" xfId="0" applyFont="1" applyBorder="1"/>
    <xf numFmtId="0" fontId="31" fillId="0" borderId="10" xfId="0" applyFont="1" applyBorder="1" applyAlignment="1">
      <alignment horizontal="center" vertical="center"/>
    </xf>
    <xf numFmtId="0" fontId="31" fillId="0" borderId="10" xfId="0" applyFont="1" applyBorder="1" applyAlignment="1">
      <alignment horizontal="left" vertical="center" wrapText="1"/>
    </xf>
    <xf numFmtId="172" fontId="31" fillId="0" borderId="10" xfId="0" applyNumberFormat="1" applyFont="1" applyBorder="1" applyAlignment="1">
      <alignment horizontal="center" vertical="center" wrapText="1"/>
    </xf>
    <xf numFmtId="172" fontId="40" fillId="0" borderId="10" xfId="0" applyNumberFormat="1" applyFont="1" applyBorder="1"/>
    <xf numFmtId="1" fontId="31" fillId="0" borderId="10" xfId="0" applyNumberFormat="1" applyFont="1" applyBorder="1" applyAlignment="1">
      <alignment horizontal="center" vertical="center" wrapText="1"/>
    </xf>
    <xf numFmtId="0" fontId="25" fillId="0" borderId="10" xfId="0" applyFont="1" applyBorder="1" applyAlignment="1">
      <alignment horizontal="left" vertical="center" wrapText="1"/>
    </xf>
    <xf numFmtId="0" fontId="40" fillId="0" borderId="10" xfId="0" applyFont="1" applyBorder="1" applyAlignment="1">
      <alignment horizontal="left"/>
    </xf>
    <xf numFmtId="172" fontId="31" fillId="0" borderId="10" xfId="0" applyNumberFormat="1" applyFont="1" applyBorder="1" applyAlignment="1">
      <alignment horizontal="center" vertical="center"/>
    </xf>
    <xf numFmtId="172" fontId="25" fillId="0" borderId="10" xfId="0" applyNumberFormat="1" applyFont="1" applyBorder="1" applyAlignment="1">
      <alignment horizontal="center" vertical="center"/>
    </xf>
    <xf numFmtId="0" fontId="31" fillId="0" borderId="15" xfId="0" applyFont="1" applyBorder="1" applyAlignment="1">
      <alignment horizontal="center" vertical="center"/>
    </xf>
    <xf numFmtId="0" fontId="31" fillId="0" borderId="13" xfId="0" applyFont="1" applyBorder="1" applyAlignment="1">
      <alignment horizontal="center" vertical="center"/>
    </xf>
    <xf numFmtId="1" fontId="31" fillId="0" borderId="15" xfId="0" applyNumberFormat="1" applyFont="1" applyBorder="1" applyAlignment="1">
      <alignment horizontal="center" vertical="center" wrapText="1"/>
    </xf>
    <xf numFmtId="1" fontId="31" fillId="0" borderId="13" xfId="0" applyNumberFormat="1" applyFont="1" applyBorder="1" applyAlignment="1">
      <alignment horizontal="center" vertical="center" wrapText="1"/>
    </xf>
    <xf numFmtId="172" fontId="31" fillId="0" borderId="15" xfId="0" applyNumberFormat="1" applyFont="1" applyBorder="1" applyAlignment="1">
      <alignment horizontal="center" vertical="center" wrapText="1"/>
    </xf>
    <xf numFmtId="172" fontId="31" fillId="0" borderId="13" xfId="0" applyNumberFormat="1" applyFont="1" applyBorder="1" applyAlignment="1">
      <alignment horizontal="center" vertical="center" wrapText="1"/>
    </xf>
    <xf numFmtId="0" fontId="25" fillId="0" borderId="10" xfId="0" applyFont="1" applyBorder="1" applyAlignment="1">
      <alignment horizontal="center" vertical="center" wrapText="1"/>
    </xf>
    <xf numFmtId="0" fontId="40" fillId="0" borderId="10" xfId="0" applyFont="1" applyBorder="1" applyAlignment="1">
      <alignment wrapText="1"/>
    </xf>
    <xf numFmtId="0" fontId="40" fillId="0" borderId="19" xfId="0" applyFont="1" applyBorder="1"/>
    <xf numFmtId="0" fontId="40" fillId="0" borderId="19" xfId="0" applyFont="1" applyBorder="1" applyAlignment="1">
      <alignment horizontal="left"/>
    </xf>
    <xf numFmtId="172" fontId="40" fillId="0" borderId="19" xfId="0" applyNumberFormat="1" applyFont="1" applyBorder="1"/>
    <xf numFmtId="0" fontId="25" fillId="0" borderId="78" xfId="49" applyFont="1" applyBorder="1" applyAlignment="1">
      <alignment horizontal="center" vertical="center" wrapText="1"/>
    </xf>
    <xf numFmtId="0" fontId="31" fillId="0" borderId="30" xfId="44" applyFont="1" applyBorder="1" applyAlignment="1">
      <alignment horizontal="center" vertical="center" wrapText="1"/>
    </xf>
    <xf numFmtId="172" fontId="25" fillId="0" borderId="30" xfId="69" applyNumberFormat="1" applyFont="1" applyFill="1" applyBorder="1" applyAlignment="1">
      <alignment horizontal="center" vertical="center" wrapText="1"/>
    </xf>
    <xf numFmtId="0" fontId="31" fillId="0" borderId="79" xfId="44" applyFont="1" applyBorder="1" applyAlignment="1">
      <alignment horizontal="center" vertical="center" wrapText="1"/>
    </xf>
    <xf numFmtId="0" fontId="8" fillId="0" borderId="30" xfId="49" applyFont="1" applyBorder="1" applyAlignment="1">
      <alignment horizontal="center" vertical="center" wrapText="1"/>
    </xf>
    <xf numFmtId="0" fontId="90" fillId="0" borderId="30" xfId="44" applyFont="1" applyBorder="1" applyAlignment="1">
      <alignment horizontal="center" vertical="center" wrapText="1"/>
    </xf>
    <xf numFmtId="0" fontId="25" fillId="0" borderId="30" xfId="0" applyFont="1" applyBorder="1" applyAlignment="1">
      <alignment horizontal="left" vertical="center" wrapText="1"/>
    </xf>
    <xf numFmtId="0" fontId="25" fillId="0" borderId="79" xfId="49" applyFont="1" applyBorder="1" applyAlignment="1">
      <alignment horizontal="center" vertical="center" wrapText="1"/>
    </xf>
    <xf numFmtId="172" fontId="25" fillId="0" borderId="27" xfId="69" applyNumberFormat="1" applyFont="1" applyFill="1" applyBorder="1" applyAlignment="1">
      <alignment horizontal="center" vertical="center" wrapText="1"/>
    </xf>
    <xf numFmtId="172" fontId="25" fillId="0" borderId="29" xfId="69" applyNumberFormat="1" applyFont="1" applyFill="1" applyBorder="1" applyAlignment="1">
      <alignment horizontal="center" vertical="center" wrapText="1"/>
    </xf>
    <xf numFmtId="1" fontId="25" fillId="0" borderId="78" xfId="44" applyNumberFormat="1" applyFont="1" applyBorder="1" applyAlignment="1">
      <alignment horizontal="center" vertical="center" wrapText="1"/>
    </xf>
    <xf numFmtId="0" fontId="31" fillId="0" borderId="30" xfId="44" applyFont="1" applyBorder="1" applyAlignment="1">
      <alignment horizontal="left" vertical="center" wrapText="1"/>
    </xf>
    <xf numFmtId="172" fontId="25" fillId="0" borderId="79" xfId="68" applyNumberFormat="1" applyFont="1" applyFill="1" applyBorder="1" applyAlignment="1">
      <alignment horizontal="center" vertical="center" wrapText="1"/>
    </xf>
    <xf numFmtId="1" fontId="25" fillId="0" borderId="30" xfId="44" quotePrefix="1" applyNumberFormat="1" applyFont="1" applyBorder="1" applyAlignment="1">
      <alignment horizontal="center" vertical="center" wrapText="1"/>
    </xf>
    <xf numFmtId="0" fontId="11" fillId="0" borderId="79" xfId="89" applyFont="1" applyBorder="1" applyAlignment="1">
      <alignment horizontal="center" vertical="center" wrapText="1"/>
    </xf>
    <xf numFmtId="172" fontId="25" fillId="0" borderId="33" xfId="69" applyNumberFormat="1" applyFont="1" applyFill="1" applyBorder="1" applyAlignment="1">
      <alignment horizontal="center" vertical="center" wrapText="1"/>
    </xf>
    <xf numFmtId="0" fontId="25" fillId="0" borderId="78" xfId="44" applyFont="1" applyBorder="1" applyAlignment="1">
      <alignment horizontal="center" vertical="center" wrapText="1"/>
    </xf>
    <xf numFmtId="3" fontId="25" fillId="0" borderId="79" xfId="48" applyNumberFormat="1" applyFont="1" applyBorder="1" applyAlignment="1">
      <alignment horizontal="center" vertical="center" wrapText="1"/>
    </xf>
    <xf numFmtId="0" fontId="25" fillId="0" borderId="30" xfId="0" applyFont="1" applyBorder="1" applyAlignment="1">
      <alignment vertical="center" wrapText="1"/>
    </xf>
    <xf numFmtId="0" fontId="25" fillId="0" borderId="43" xfId="0" applyFont="1" applyBorder="1" applyAlignment="1">
      <alignment vertical="center" wrapText="1"/>
    </xf>
    <xf numFmtId="0" fontId="25" fillId="0" borderId="79" xfId="44" applyFont="1" applyBorder="1" applyAlignment="1">
      <alignment horizontal="center" vertical="center" wrapText="1"/>
    </xf>
    <xf numFmtId="3" fontId="25" fillId="0" borderId="30" xfId="44" applyNumberFormat="1" applyFont="1" applyBorder="1" applyAlignment="1">
      <alignment horizontal="center" vertical="center" wrapText="1"/>
    </xf>
    <xf numFmtId="172" fontId="25" fillId="0" borderId="32" xfId="69" applyNumberFormat="1" applyFont="1" applyFill="1" applyBorder="1" applyAlignment="1">
      <alignment horizontal="center" vertical="center" wrapText="1"/>
    </xf>
    <xf numFmtId="0" fontId="25" fillId="0" borderId="81" xfId="49" applyFont="1" applyBorder="1" applyAlignment="1">
      <alignment horizontal="center" vertical="center" wrapText="1"/>
    </xf>
    <xf numFmtId="0" fontId="25" fillId="0" borderId="80" xfId="44" applyFont="1" applyBorder="1" applyAlignment="1">
      <alignment horizontal="center" vertical="center" wrapText="1"/>
    </xf>
    <xf numFmtId="0" fontId="25" fillId="0" borderId="43" xfId="44" applyFont="1" applyBorder="1" applyAlignment="1">
      <alignment horizontal="center" vertical="center" wrapText="1"/>
    </xf>
    <xf numFmtId="0" fontId="44" fillId="0" borderId="12" xfId="0" applyFont="1" applyBorder="1" applyAlignment="1">
      <alignment horizontal="center" vertical="center" wrapText="1"/>
    </xf>
    <xf numFmtId="0" fontId="2" fillId="0" borderId="0" xfId="0" applyFont="1"/>
    <xf numFmtId="0" fontId="5" fillId="0" borderId="21" xfId="44" applyFont="1" applyBorder="1" applyAlignment="1">
      <alignment horizontal="center" vertical="center" wrapText="1"/>
    </xf>
    <xf numFmtId="0" fontId="4" fillId="0" borderId="0" xfId="39" applyFont="1" applyAlignment="1">
      <alignment horizontal="center" vertical="center" wrapText="1"/>
    </xf>
    <xf numFmtId="172" fontId="4" fillId="0" borderId="21" xfId="38" applyNumberFormat="1" applyFont="1" applyBorder="1" applyAlignment="1">
      <alignment horizontal="center" vertical="center" wrapText="1"/>
    </xf>
    <xf numFmtId="172" fontId="4" fillId="0" borderId="0" xfId="38" applyNumberFormat="1" applyFont="1" applyAlignment="1">
      <alignment horizontal="center" vertical="center" wrapText="1"/>
    </xf>
    <xf numFmtId="0" fontId="31" fillId="0" borderId="13" xfId="0" applyFont="1" applyBorder="1" applyAlignment="1">
      <alignment horizontal="left" vertical="center" wrapText="1"/>
    </xf>
    <xf numFmtId="9" fontId="39" fillId="0" borderId="14" xfId="63" applyFont="1" applyFill="1" applyBorder="1" applyAlignment="1">
      <alignment horizontal="center" vertical="center" wrapText="1"/>
    </xf>
    <xf numFmtId="9" fontId="39" fillId="0" borderId="13" xfId="63" applyFont="1" applyFill="1" applyBorder="1" applyAlignment="1">
      <alignment horizontal="center" vertical="center" wrapText="1"/>
    </xf>
    <xf numFmtId="0" fontId="31" fillId="0" borderId="15" xfId="0" applyFont="1" applyBorder="1" applyAlignment="1">
      <alignment horizontal="left" vertical="center" wrapText="1"/>
    </xf>
    <xf numFmtId="9" fontId="39" fillId="0" borderId="15" xfId="63" applyFont="1" applyFill="1" applyBorder="1" applyAlignment="1">
      <alignment horizontal="center" vertical="center" wrapText="1"/>
    </xf>
    <xf numFmtId="9" fontId="31" fillId="0" borderId="13" xfId="63" applyFont="1" applyFill="1" applyBorder="1" applyAlignment="1">
      <alignment horizontal="center" vertical="center" wrapText="1"/>
    </xf>
    <xf numFmtId="3" fontId="31" fillId="0" borderId="14" xfId="0" applyNumberFormat="1" applyFont="1" applyBorder="1" applyAlignment="1">
      <alignment horizontal="center" vertical="center" wrapText="1"/>
    </xf>
    <xf numFmtId="0" fontId="31" fillId="0" borderId="13" xfId="0" applyFont="1" applyBorder="1" applyAlignment="1">
      <alignment vertical="center" wrapText="1"/>
    </xf>
    <xf numFmtId="0" fontId="31" fillId="0" borderId="15" xfId="0" applyFont="1" applyBorder="1" applyAlignment="1">
      <alignment vertical="center" wrapText="1"/>
    </xf>
    <xf numFmtId="0" fontId="25" fillId="0" borderId="46" xfId="0" applyFont="1" applyBorder="1" applyAlignment="1">
      <alignment horizontal="left" vertical="center" wrapText="1"/>
    </xf>
    <xf numFmtId="0" fontId="25" fillId="0" borderId="66" xfId="0" applyFont="1" applyBorder="1" applyAlignment="1">
      <alignment horizontal="left" vertical="center" wrapText="1"/>
    </xf>
    <xf numFmtId="0" fontId="25" fillId="0" borderId="34" xfId="0" applyFont="1" applyBorder="1" applyAlignment="1">
      <alignment horizontal="left" vertical="center" wrapText="1"/>
    </xf>
    <xf numFmtId="0" fontId="31" fillId="0" borderId="46" xfId="0" applyFont="1" applyBorder="1" applyAlignment="1">
      <alignment horizontal="left" vertical="center" wrapText="1"/>
    </xf>
    <xf numFmtId="0" fontId="31" fillId="0" borderId="66" xfId="0" applyFont="1" applyBorder="1" applyAlignment="1">
      <alignment horizontal="left" vertical="center" wrapText="1"/>
    </xf>
    <xf numFmtId="0" fontId="31" fillId="0" borderId="34" xfId="0" applyFont="1" applyBorder="1" applyAlignment="1">
      <alignment horizontal="left" vertical="center" wrapText="1"/>
    </xf>
    <xf numFmtId="0" fontId="25" fillId="0" borderId="30" xfId="0" applyFont="1" applyBorder="1" applyAlignment="1">
      <alignment horizontal="center" vertical="center"/>
    </xf>
    <xf numFmtId="172" fontId="25" fillId="0" borderId="30" xfId="69" applyNumberFormat="1" applyFont="1" applyFill="1" applyBorder="1" applyAlignment="1">
      <alignment vertical="center" wrapText="1"/>
    </xf>
    <xf numFmtId="0" fontId="25" fillId="0" borderId="82" xfId="0" applyFont="1" applyBorder="1" applyAlignment="1">
      <alignment horizontal="center" vertical="center"/>
    </xf>
    <xf numFmtId="0" fontId="25" fillId="0" borderId="29" xfId="0" applyFont="1" applyBorder="1" applyAlignment="1">
      <alignment horizontal="center" vertical="center"/>
    </xf>
    <xf numFmtId="0" fontId="25" fillId="0" borderId="33" xfId="0" applyFont="1" applyBorder="1" applyAlignment="1">
      <alignment horizontal="center" vertical="center"/>
    </xf>
    <xf numFmtId="0" fontId="25" fillId="0" borderId="82" xfId="0" applyFont="1" applyBorder="1" applyAlignment="1">
      <alignment horizontal="left" vertical="center" wrapText="1"/>
    </xf>
    <xf numFmtId="0" fontId="25" fillId="0" borderId="29" xfId="0" applyFont="1" applyBorder="1" applyAlignment="1">
      <alignment horizontal="left" vertical="center" wrapText="1"/>
    </xf>
    <xf numFmtId="0" fontId="25" fillId="0" borderId="33" xfId="0" applyFont="1" applyBorder="1" applyAlignment="1">
      <alignment horizontal="left" vertical="center" wrapText="1"/>
    </xf>
    <xf numFmtId="172" fontId="25" fillId="0" borderId="82" xfId="69" applyNumberFormat="1" applyFont="1" applyFill="1" applyBorder="1" applyAlignment="1">
      <alignment horizontal="center" vertical="center" wrapText="1"/>
    </xf>
    <xf numFmtId="0" fontId="3" fillId="0" borderId="30" xfId="0" applyFont="1" applyBorder="1" applyAlignment="1">
      <alignment horizontal="center" vertical="center"/>
    </xf>
    <xf numFmtId="9" fontId="25" fillId="0" borderId="30" xfId="49" applyNumberFormat="1" applyFont="1" applyBorder="1" applyAlignment="1">
      <alignment horizontal="center" vertical="center"/>
    </xf>
    <xf numFmtId="172" fontId="25" fillId="0" borderId="82" xfId="69" applyNumberFormat="1" applyFont="1" applyFill="1" applyBorder="1" applyAlignment="1">
      <alignment vertical="center" wrapText="1"/>
    </xf>
    <xf numFmtId="172" fontId="25" fillId="0" borderId="29" xfId="69" applyNumberFormat="1" applyFont="1" applyFill="1" applyBorder="1" applyAlignment="1">
      <alignment vertical="center" wrapText="1"/>
    </xf>
    <xf numFmtId="0" fontId="0" fillId="0" borderId="33" xfId="0" applyBorder="1" applyAlignment="1">
      <alignment vertical="center" wrapText="1"/>
    </xf>
    <xf numFmtId="0" fontId="3" fillId="0" borderId="30" xfId="0" applyFont="1" applyBorder="1" applyAlignment="1">
      <alignment vertical="center"/>
    </xf>
    <xf numFmtId="0" fontId="3" fillId="0" borderId="30" xfId="0" applyFont="1" applyBorder="1" applyAlignment="1">
      <alignment horizontal="left" vertical="center"/>
    </xf>
    <xf numFmtId="172" fontId="25" fillId="0" borderId="30" xfId="69" applyNumberFormat="1" applyFont="1" applyFill="1" applyBorder="1" applyAlignment="1">
      <alignment horizontal="right" vertical="center" wrapText="1"/>
    </xf>
    <xf numFmtId="0" fontId="8" fillId="0" borderId="0" xfId="43" applyFont="1" applyAlignment="1">
      <alignment horizontal="center" vertical="center"/>
    </xf>
    <xf numFmtId="0" fontId="25" fillId="0" borderId="43" xfId="0" applyFont="1" applyBorder="1" applyAlignment="1">
      <alignment horizontal="center" vertical="center"/>
    </xf>
    <xf numFmtId="0" fontId="25" fillId="0" borderId="43" xfId="0" applyFont="1" applyBorder="1" applyAlignment="1">
      <alignment horizontal="left" vertical="center" wrapText="1"/>
    </xf>
    <xf numFmtId="172" fontId="25" fillId="0" borderId="43" xfId="69" applyNumberFormat="1" applyFont="1" applyFill="1" applyBorder="1" applyAlignment="1">
      <alignment vertical="center" wrapText="1"/>
    </xf>
    <xf numFmtId="0" fontId="25" fillId="0" borderId="84" xfId="44" applyFont="1" applyBorder="1" applyAlignment="1">
      <alignment horizontal="center" vertical="center" wrapText="1"/>
    </xf>
    <xf numFmtId="0" fontId="25" fillId="0" borderId="29" xfId="44" applyFont="1" applyBorder="1" applyAlignment="1">
      <alignment horizontal="center" vertical="center" wrapText="1"/>
    </xf>
    <xf numFmtId="0" fontId="4" fillId="0" borderId="25" xfId="44" applyFont="1" applyBorder="1" applyAlignment="1">
      <alignment horizontal="center" vertical="center" wrapText="1"/>
    </xf>
    <xf numFmtId="0" fontId="4" fillId="0" borderId="26" xfId="44" applyFont="1" applyBorder="1" applyAlignment="1">
      <alignment horizontal="center" vertical="center" wrapText="1"/>
    </xf>
    <xf numFmtId="172" fontId="4" fillId="0" borderId="25" xfId="39" applyNumberFormat="1" applyFont="1" applyBorder="1" applyAlignment="1">
      <alignment horizontal="center" vertical="center" wrapText="1"/>
    </xf>
    <xf numFmtId="172" fontId="4" fillId="0" borderId="26" xfId="39" applyNumberFormat="1" applyFont="1" applyBorder="1" applyAlignment="1">
      <alignment horizontal="center" vertical="center" wrapText="1"/>
    </xf>
    <xf numFmtId="0" fontId="4" fillId="0" borderId="25" xfId="39" applyFont="1" applyBorder="1" applyAlignment="1">
      <alignment horizontal="center" vertical="center" wrapText="1"/>
    </xf>
    <xf numFmtId="0" fontId="4" fillId="0" borderId="26" xfId="39" applyFont="1" applyBorder="1" applyAlignment="1">
      <alignment horizontal="center" vertical="center" wrapText="1"/>
    </xf>
    <xf numFmtId="0" fontId="4" fillId="0" borderId="25" xfId="43" applyFont="1" applyBorder="1" applyAlignment="1">
      <alignment horizontal="center" vertical="center" wrapText="1"/>
    </xf>
    <xf numFmtId="0" fontId="4" fillId="0" borderId="26" xfId="43" applyFont="1" applyBorder="1" applyAlignment="1">
      <alignment horizontal="center" vertical="center" wrapText="1"/>
    </xf>
    <xf numFmtId="1" fontId="4" fillId="0" borderId="25" xfId="44" applyNumberFormat="1" applyFont="1" applyBorder="1" applyAlignment="1">
      <alignment horizontal="right" vertical="center" wrapText="1"/>
    </xf>
    <xf numFmtId="1" fontId="4" fillId="0" borderId="26" xfId="44" applyNumberFormat="1" applyFont="1" applyBorder="1" applyAlignment="1">
      <alignment horizontal="right" vertical="center" wrapText="1"/>
    </xf>
    <xf numFmtId="172" fontId="31" fillId="0" borderId="0" xfId="0" applyNumberFormat="1" applyFont="1" applyAlignment="1">
      <alignment horizontal="center" vertical="center"/>
    </xf>
    <xf numFmtId="0" fontId="36" fillId="0" borderId="0" xfId="0" applyFont="1"/>
    <xf numFmtId="0" fontId="31" fillId="0" borderId="0" xfId="0" applyFont="1" applyAlignment="1">
      <alignment horizontal="center" vertical="center"/>
    </xf>
    <xf numFmtId="0" fontId="5" fillId="2" borderId="2" xfId="43" applyFont="1" applyFill="1" applyBorder="1" applyAlignment="1">
      <alignment horizontal="center" vertical="center"/>
    </xf>
    <xf numFmtId="0" fontId="4" fillId="0" borderId="0" xfId="43" applyFont="1" applyAlignment="1">
      <alignment horizontal="center" vertical="center" wrapText="1"/>
    </xf>
    <xf numFmtId="1" fontId="41" fillId="0" borderId="53" xfId="0" applyNumberFormat="1" applyFont="1" applyBorder="1" applyAlignment="1">
      <alignment vertical="center" wrapText="1"/>
    </xf>
    <xf numFmtId="0" fontId="97" fillId="0" borderId="48" xfId="0" applyFont="1" applyBorder="1"/>
    <xf numFmtId="1" fontId="31" fillId="0" borderId="0" xfId="0" applyNumberFormat="1" applyFont="1" applyAlignment="1">
      <alignment horizontal="center" vertical="center" wrapText="1"/>
    </xf>
    <xf numFmtId="0" fontId="97" fillId="0" borderId="57" xfId="0" applyFont="1" applyBorder="1"/>
    <xf numFmtId="172" fontId="31" fillId="0" borderId="47" xfId="0" applyNumberFormat="1" applyFont="1" applyBorder="1" applyAlignment="1">
      <alignment horizontal="center" vertical="center" wrapText="1"/>
    </xf>
    <xf numFmtId="0" fontId="97" fillId="0" borderId="53" xfId="0" applyFont="1" applyBorder="1"/>
    <xf numFmtId="0" fontId="0" fillId="0" borderId="0" xfId="0"/>
    <xf numFmtId="0" fontId="41" fillId="0" borderId="53" xfId="0" applyFont="1" applyBorder="1" applyAlignment="1">
      <alignment vertical="center" wrapText="1"/>
    </xf>
    <xf numFmtId="0" fontId="31" fillId="0" borderId="0" xfId="0" applyFont="1" applyAlignment="1">
      <alignment horizontal="center" vertical="center" wrapText="1"/>
    </xf>
    <xf numFmtId="10" fontId="31" fillId="0" borderId="14" xfId="0" applyNumberFormat="1" applyFont="1" applyBorder="1" applyAlignment="1">
      <alignment horizontal="center" vertical="center" wrapText="1"/>
    </xf>
    <xf numFmtId="0" fontId="4" fillId="4" borderId="1" xfId="43" applyFont="1" applyFill="1" applyBorder="1" applyAlignment="1">
      <alignment horizontal="center" vertical="center" wrapText="1"/>
    </xf>
    <xf numFmtId="0" fontId="4" fillId="4" borderId="28" xfId="43" applyFont="1" applyFill="1" applyBorder="1" applyAlignment="1">
      <alignment horizontal="center" vertical="center" wrapText="1"/>
    </xf>
    <xf numFmtId="3" fontId="31" fillId="0" borderId="14" xfId="0" applyNumberFormat="1" applyFont="1" applyBorder="1" applyAlignment="1">
      <alignment horizontal="right" vertical="center" wrapText="1"/>
    </xf>
    <xf numFmtId="3" fontId="31" fillId="0" borderId="15" xfId="0" applyNumberFormat="1" applyFont="1" applyBorder="1" applyAlignment="1">
      <alignment horizontal="right" vertical="center" wrapText="1"/>
    </xf>
    <xf numFmtId="3" fontId="31" fillId="0" borderId="13" xfId="0" applyNumberFormat="1" applyFont="1" applyBorder="1" applyAlignment="1">
      <alignment horizontal="right" vertical="center" wrapText="1"/>
    </xf>
    <xf numFmtId="3" fontId="31" fillId="0" borderId="14" xfId="0" applyNumberFormat="1" applyFont="1" applyBorder="1" applyAlignment="1">
      <alignment horizontal="right" vertical="center"/>
    </xf>
    <xf numFmtId="3" fontId="31" fillId="0" borderId="15" xfId="0" applyNumberFormat="1" applyFont="1" applyBorder="1" applyAlignment="1">
      <alignment horizontal="right" vertical="center"/>
    </xf>
    <xf numFmtId="3" fontId="31" fillId="0" borderId="13" xfId="0" applyNumberFormat="1" applyFont="1" applyBorder="1" applyAlignment="1">
      <alignment horizontal="right" vertical="center"/>
    </xf>
    <xf numFmtId="9" fontId="31" fillId="0" borderId="14" xfId="0" applyNumberFormat="1" applyFont="1" applyBorder="1" applyAlignment="1">
      <alignment horizontal="right" vertical="center"/>
    </xf>
    <xf numFmtId="9" fontId="31" fillId="0" borderId="15" xfId="0" applyNumberFormat="1" applyFont="1" applyBorder="1" applyAlignment="1">
      <alignment horizontal="right" vertical="center"/>
    </xf>
    <xf numFmtId="9" fontId="31" fillId="0" borderId="13" xfId="0" applyNumberFormat="1" applyFont="1" applyBorder="1" applyAlignment="1">
      <alignment horizontal="right" vertical="center"/>
    </xf>
    <xf numFmtId="0" fontId="4" fillId="4" borderId="1" xfId="39" applyFont="1" applyFill="1" applyBorder="1" applyAlignment="1">
      <alignment horizontal="center" vertical="center" wrapText="1"/>
    </xf>
    <xf numFmtId="0" fontId="4" fillId="4" borderId="28" xfId="39" applyFont="1" applyFill="1" applyBorder="1" applyAlignment="1">
      <alignment horizontal="center" vertical="center" wrapText="1"/>
    </xf>
    <xf numFmtId="0" fontId="36" fillId="8" borderId="14" xfId="0" applyFont="1" applyFill="1" applyBorder="1" applyAlignment="1">
      <alignment horizontal="center" vertical="center" wrapText="1"/>
    </xf>
    <xf numFmtId="9" fontId="31" fillId="0" borderId="15" xfId="0" applyNumberFormat="1" applyFont="1" applyBorder="1" applyAlignment="1">
      <alignment horizontal="center" vertical="center" wrapText="1"/>
    </xf>
    <xf numFmtId="9" fontId="31" fillId="0" borderId="13" xfId="0" applyNumberFormat="1" applyFont="1" applyBorder="1" applyAlignment="1">
      <alignment horizontal="center" vertical="center" wrapText="1"/>
    </xf>
    <xf numFmtId="0" fontId="98" fillId="0" borderId="14" xfId="0" applyFont="1" applyBorder="1" applyAlignment="1">
      <alignment horizontal="center" vertical="center" wrapText="1"/>
    </xf>
    <xf numFmtId="0" fontId="31" fillId="8" borderId="14" xfId="0" applyFont="1" applyFill="1" applyBorder="1" applyAlignment="1">
      <alignment horizontal="center" vertical="center"/>
    </xf>
    <xf numFmtId="0" fontId="31" fillId="8" borderId="15" xfId="0" applyFont="1" applyFill="1" applyBorder="1" applyAlignment="1">
      <alignment horizontal="center" vertical="center"/>
    </xf>
    <xf numFmtId="0" fontId="37" fillId="8" borderId="14" xfId="0" applyFont="1" applyFill="1" applyBorder="1" applyAlignment="1">
      <alignment horizontal="center" vertical="center" wrapText="1"/>
    </xf>
    <xf numFmtId="0" fontId="37" fillId="8" borderId="15" xfId="0" applyFont="1" applyFill="1" applyBorder="1" applyAlignment="1">
      <alignment horizontal="center" vertical="center" wrapText="1"/>
    </xf>
    <xf numFmtId="1" fontId="31" fillId="8" borderId="14" xfId="0" applyNumberFormat="1" applyFont="1" applyFill="1" applyBorder="1" applyAlignment="1">
      <alignment horizontal="center" vertical="center" wrapText="1"/>
    </xf>
    <xf numFmtId="1" fontId="31" fillId="8" borderId="15" xfId="0" applyNumberFormat="1" applyFont="1" applyFill="1" applyBorder="1" applyAlignment="1">
      <alignment horizontal="center" vertical="center" wrapText="1"/>
    </xf>
    <xf numFmtId="0" fontId="36" fillId="8" borderId="14" xfId="0" applyFont="1" applyFill="1" applyBorder="1" applyAlignment="1">
      <alignment horizontal="left" vertical="center" wrapText="1"/>
    </xf>
    <xf numFmtId="0" fontId="36" fillId="8" borderId="15" xfId="0" applyFont="1" applyFill="1" applyBorder="1" applyAlignment="1">
      <alignment horizontal="left" vertical="center" wrapText="1"/>
    </xf>
    <xf numFmtId="0" fontId="70" fillId="0" borderId="30" xfId="0" applyFont="1" applyBorder="1" applyAlignment="1">
      <alignment horizontal="center" vertical="center" wrapText="1"/>
    </xf>
    <xf numFmtId="1" fontId="25" fillId="0" borderId="30" xfId="0" applyNumberFormat="1" applyFont="1" applyBorder="1" applyAlignment="1">
      <alignment horizontal="center" vertical="center" wrapText="1"/>
    </xf>
    <xf numFmtId="1" fontId="8" fillId="0" borderId="30" xfId="0" applyNumberFormat="1" applyFont="1" applyBorder="1" applyAlignment="1">
      <alignment horizontal="center" vertical="center" wrapText="1"/>
    </xf>
    <xf numFmtId="9" fontId="25" fillId="0" borderId="82" xfId="49" applyNumberFormat="1" applyFont="1" applyBorder="1" applyAlignment="1">
      <alignment horizontal="center" vertical="center" wrapText="1"/>
    </xf>
    <xf numFmtId="9" fontId="25" fillId="0" borderId="33" xfId="49" applyNumberFormat="1" applyFont="1" applyBorder="1" applyAlignment="1">
      <alignment horizontal="center" vertical="center" wrapText="1"/>
    </xf>
    <xf numFmtId="1" fontId="31" fillId="8" borderId="88" xfId="0" applyNumberFormat="1" applyFont="1" applyFill="1" applyBorder="1" applyAlignment="1">
      <alignment horizontal="center" vertical="center" wrapText="1"/>
    </xf>
    <xf numFmtId="0" fontId="31" fillId="8" borderId="14" xfId="0" applyFont="1" applyFill="1" applyBorder="1" applyAlignment="1">
      <alignment horizontal="center" vertical="center" wrapText="1"/>
    </xf>
    <xf numFmtId="0" fontId="31" fillId="8" borderId="88" xfId="0" applyFont="1" applyFill="1" applyBorder="1" applyAlignment="1">
      <alignment horizontal="center" vertical="center" wrapText="1"/>
    </xf>
    <xf numFmtId="9" fontId="40" fillId="0" borderId="13" xfId="0" applyNumberFormat="1" applyFont="1" applyBorder="1"/>
    <xf numFmtId="14" fontId="31" fillId="0" borderId="14" xfId="0" applyNumberFormat="1" applyFont="1" applyBorder="1" applyAlignment="1">
      <alignment horizontal="center" vertical="center"/>
    </xf>
    <xf numFmtId="0" fontId="99" fillId="0" borderId="14" xfId="0" applyFont="1" applyBorder="1" applyAlignment="1">
      <alignment horizontal="left" vertical="center" wrapText="1"/>
    </xf>
    <xf numFmtId="0" fontId="99" fillId="0" borderId="15" xfId="0" applyFont="1" applyBorder="1" applyAlignment="1">
      <alignment horizontal="left" vertical="center" wrapText="1"/>
    </xf>
    <xf numFmtId="0" fontId="31" fillId="0" borderId="14" xfId="0" applyFont="1" applyBorder="1" applyAlignment="1">
      <alignment horizontal="right" vertical="center"/>
    </xf>
    <xf numFmtId="0" fontId="31" fillId="0" borderId="15" xfId="0" applyFont="1" applyBorder="1" applyAlignment="1">
      <alignment horizontal="right" vertical="center"/>
    </xf>
    <xf numFmtId="0" fontId="31" fillId="0" borderId="13" xfId="0" applyFont="1" applyBorder="1" applyAlignment="1">
      <alignment horizontal="right" vertical="center"/>
    </xf>
    <xf numFmtId="1" fontId="31" fillId="4" borderId="14" xfId="0" applyNumberFormat="1" applyFont="1" applyFill="1" applyBorder="1" applyAlignment="1">
      <alignment horizontal="right" vertical="center"/>
    </xf>
    <xf numFmtId="1" fontId="31" fillId="4" borderId="15" xfId="0" applyNumberFormat="1" applyFont="1" applyFill="1" applyBorder="1" applyAlignment="1">
      <alignment horizontal="right" vertical="center"/>
    </xf>
    <xf numFmtId="1" fontId="31" fillId="4" borderId="13" xfId="0" applyNumberFormat="1" applyFont="1" applyFill="1" applyBorder="1" applyAlignment="1">
      <alignment horizontal="right" vertical="center"/>
    </xf>
    <xf numFmtId="172" fontId="31" fillId="0" borderId="14" xfId="0" applyNumberFormat="1" applyFont="1" applyBorder="1" applyAlignment="1">
      <alignment horizontal="right" vertical="center"/>
    </xf>
    <xf numFmtId="172" fontId="31" fillId="0" borderId="15" xfId="0" applyNumberFormat="1" applyFont="1" applyBorder="1" applyAlignment="1">
      <alignment horizontal="right" vertical="center"/>
    </xf>
    <xf numFmtId="172" fontId="31" fillId="0" borderId="13" xfId="0" applyNumberFormat="1" applyFont="1" applyBorder="1" applyAlignment="1">
      <alignment horizontal="right" vertical="center"/>
    </xf>
    <xf numFmtId="172" fontId="39" fillId="0" borderId="14" xfId="0" applyNumberFormat="1" applyFont="1" applyBorder="1" applyAlignment="1">
      <alignment horizontal="center" vertical="center"/>
    </xf>
    <xf numFmtId="172" fontId="39" fillId="0" borderId="15" xfId="0" applyNumberFormat="1" applyFont="1" applyBorder="1" applyAlignment="1">
      <alignment horizontal="center" vertical="center"/>
    </xf>
    <xf numFmtId="172" fontId="39" fillId="0" borderId="13" xfId="0" applyNumberFormat="1" applyFont="1" applyBorder="1" applyAlignment="1">
      <alignment horizontal="center" vertical="center"/>
    </xf>
    <xf numFmtId="0" fontId="100" fillId="4" borderId="14" xfId="0" applyFont="1" applyFill="1" applyBorder="1" applyAlignment="1">
      <alignment horizontal="left" vertical="top" wrapText="1"/>
    </xf>
    <xf numFmtId="0" fontId="100" fillId="4" borderId="13" xfId="0" applyFont="1" applyFill="1" applyBorder="1" applyAlignment="1">
      <alignment horizontal="left" vertical="top" wrapText="1"/>
    </xf>
    <xf numFmtId="0" fontId="100" fillId="0" borderId="14" xfId="0" applyFont="1" applyBorder="1" applyAlignment="1">
      <alignment horizontal="left" vertical="top" wrapText="1"/>
    </xf>
    <xf numFmtId="0" fontId="100" fillId="0" borderId="13" xfId="0" applyFont="1" applyBorder="1" applyAlignment="1">
      <alignment horizontal="left" vertical="top" wrapText="1"/>
    </xf>
    <xf numFmtId="172" fontId="25" fillId="0" borderId="82" xfId="49" applyNumberFormat="1" applyFont="1" applyBorder="1" applyAlignment="1">
      <alignment horizontal="center" vertical="center" wrapText="1"/>
    </xf>
    <xf numFmtId="172" fontId="25" fillId="0" borderId="33" xfId="49" applyNumberFormat="1" applyFont="1" applyBorder="1" applyAlignment="1">
      <alignment horizontal="center" vertical="center" wrapText="1"/>
    </xf>
    <xf numFmtId="0" fontId="70" fillId="0" borderId="82" xfId="0" applyFont="1" applyBorder="1" applyAlignment="1">
      <alignment horizontal="center" vertical="center" wrapText="1"/>
    </xf>
    <xf numFmtId="0" fontId="70" fillId="0" borderId="33" xfId="0" applyFont="1" applyBorder="1" applyAlignment="1">
      <alignment horizontal="center" vertical="center" wrapText="1"/>
    </xf>
    <xf numFmtId="1" fontId="25" fillId="0" borderId="82" xfId="0" applyNumberFormat="1" applyFont="1" applyBorder="1" applyAlignment="1">
      <alignment horizontal="center" vertical="center" wrapText="1"/>
    </xf>
    <xf numFmtId="1" fontId="25" fillId="0" borderId="33" xfId="0" applyNumberFormat="1" applyFont="1" applyBorder="1" applyAlignment="1">
      <alignment horizontal="center" vertical="center" wrapText="1"/>
    </xf>
    <xf numFmtId="0" fontId="25" fillId="0" borderId="82" xfId="0" applyFont="1" applyBorder="1" applyAlignment="1">
      <alignment horizontal="center" vertical="center" wrapText="1"/>
    </xf>
    <xf numFmtId="0" fontId="25" fillId="0" borderId="33" xfId="0" applyFont="1" applyBorder="1" applyAlignment="1">
      <alignment horizontal="center" vertical="center" wrapText="1"/>
    </xf>
    <xf numFmtId="14" fontId="25" fillId="0" borderId="90" xfId="44" applyNumberFormat="1" applyFont="1" applyBorder="1" applyAlignment="1">
      <alignment horizontal="center" vertical="center"/>
    </xf>
    <xf numFmtId="0" fontId="25" fillId="0" borderId="90" xfId="44" applyFont="1" applyBorder="1" applyAlignment="1">
      <alignment horizontal="center" vertical="center"/>
    </xf>
    <xf numFmtId="14" fontId="25" fillId="0" borderId="82" xfId="44" applyNumberFormat="1" applyFont="1" applyBorder="1" applyAlignment="1">
      <alignment horizontal="center" vertical="center"/>
    </xf>
    <xf numFmtId="0" fontId="25" fillId="0" borderId="33" xfId="44" applyFont="1" applyBorder="1" applyAlignment="1">
      <alignment horizontal="center" vertical="center"/>
    </xf>
    <xf numFmtId="0" fontId="25" fillId="0" borderId="0" xfId="44" applyFont="1" applyAlignment="1">
      <alignment horizontal="left" vertical="center" wrapText="1"/>
    </xf>
    <xf numFmtId="0" fontId="25" fillId="0" borderId="0" xfId="44" applyFont="1" applyAlignment="1">
      <alignment horizontal="left" vertical="center"/>
    </xf>
    <xf numFmtId="0" fontId="31" fillId="0" borderId="93" xfId="0" applyFont="1" applyBorder="1" applyAlignment="1">
      <alignment horizontal="center" vertical="center" wrapText="1"/>
    </xf>
    <xf numFmtId="0" fontId="8" fillId="0" borderId="30" xfId="0" applyFont="1" applyBorder="1" applyAlignment="1">
      <alignment horizontal="center" vertical="center"/>
    </xf>
    <xf numFmtId="0" fontId="11" fillId="0" borderId="30" xfId="0" applyFont="1" applyBorder="1" applyAlignment="1">
      <alignment vertical="center" wrapText="1"/>
    </xf>
    <xf numFmtId="0" fontId="8" fillId="0" borderId="82" xfId="0" applyFont="1" applyBorder="1" applyAlignment="1">
      <alignment horizontal="center" vertical="center"/>
    </xf>
    <xf numFmtId="0" fontId="8" fillId="0" borderId="29" xfId="0" applyFont="1" applyBorder="1" applyAlignment="1">
      <alignment horizontal="center" vertical="center"/>
    </xf>
    <xf numFmtId="0" fontId="8" fillId="0" borderId="33" xfId="0" applyFont="1" applyBorder="1" applyAlignment="1">
      <alignment horizontal="center" vertical="center"/>
    </xf>
    <xf numFmtId="0" fontId="25" fillId="0" borderId="29" xfId="0" applyFont="1" applyBorder="1" applyAlignment="1">
      <alignment horizontal="center" vertical="center" wrapText="1"/>
    </xf>
    <xf numFmtId="172" fontId="25" fillId="0" borderId="82" xfId="44" applyNumberFormat="1" applyFont="1" applyBorder="1" applyAlignment="1">
      <alignment horizontal="center" vertical="center"/>
    </xf>
    <xf numFmtId="172" fontId="25" fillId="0" borderId="29" xfId="44" applyNumberFormat="1" applyFont="1" applyBorder="1" applyAlignment="1">
      <alignment horizontal="center" vertical="center"/>
    </xf>
    <xf numFmtId="172" fontId="25" fillId="0" borderId="33" xfId="44" applyNumberFormat="1" applyFont="1" applyBorder="1" applyAlignment="1">
      <alignment horizontal="center" vertical="center"/>
    </xf>
    <xf numFmtId="0" fontId="89" fillId="9" borderId="43" xfId="0" applyFont="1" applyFill="1" applyBorder="1" applyAlignment="1">
      <alignment horizontal="center" vertical="center" wrapText="1"/>
    </xf>
    <xf numFmtId="172" fontId="89" fillId="13" borderId="82" xfId="0" applyNumberFormat="1" applyFont="1" applyFill="1" applyBorder="1" applyAlignment="1">
      <alignment horizontal="center" vertical="center" wrapText="1"/>
    </xf>
    <xf numFmtId="172" fontId="89" fillId="13" borderId="32" xfId="0" applyNumberFormat="1" applyFont="1" applyFill="1" applyBorder="1" applyAlignment="1">
      <alignment horizontal="center" vertical="center" wrapText="1"/>
    </xf>
    <xf numFmtId="0" fontId="89" fillId="9" borderId="82" xfId="0" applyFont="1" applyFill="1" applyBorder="1" applyAlignment="1">
      <alignment horizontal="center" vertical="center" wrapText="1"/>
    </xf>
    <xf numFmtId="0" fontId="89" fillId="9" borderId="32" xfId="0" applyFont="1" applyFill="1" applyBorder="1" applyAlignment="1">
      <alignment horizontal="center" vertical="center" wrapText="1"/>
    </xf>
    <xf numFmtId="0" fontId="89" fillId="9" borderId="30" xfId="0" applyFont="1" applyFill="1" applyBorder="1" applyAlignment="1">
      <alignment horizontal="center" vertical="center" wrapText="1"/>
    </xf>
    <xf numFmtId="172" fontId="89" fillId="13" borderId="95" xfId="0" applyNumberFormat="1" applyFont="1" applyFill="1" applyBorder="1" applyAlignment="1">
      <alignment horizontal="center" vertical="center" wrapText="1"/>
    </xf>
    <xf numFmtId="172" fontId="89" fillId="13" borderId="33" xfId="0" applyNumberFormat="1" applyFont="1" applyFill="1" applyBorder="1" applyAlignment="1">
      <alignment horizontal="center" vertical="center" wrapText="1"/>
    </xf>
    <xf numFmtId="0" fontId="89" fillId="9" borderId="95" xfId="0" applyFont="1" applyFill="1" applyBorder="1" applyAlignment="1">
      <alignment horizontal="center" vertical="center" wrapText="1"/>
    </xf>
    <xf numFmtId="0" fontId="89" fillId="9" borderId="33" xfId="0" applyFont="1" applyFill="1" applyBorder="1" applyAlignment="1">
      <alignment horizontal="center" vertical="center" wrapText="1"/>
    </xf>
    <xf numFmtId="9" fontId="89" fillId="13" borderId="30" xfId="0" applyNumberFormat="1" applyFont="1" applyFill="1" applyBorder="1" applyAlignment="1">
      <alignment horizontal="center" vertical="center" wrapText="1"/>
    </xf>
    <xf numFmtId="0" fontId="89" fillId="0" borderId="82" xfId="0" applyFont="1" applyBorder="1" applyAlignment="1">
      <alignment horizontal="center" vertical="center" wrapText="1"/>
    </xf>
    <xf numFmtId="0" fontId="89" fillId="0" borderId="33" xfId="0" applyFont="1" applyBorder="1" applyAlignment="1">
      <alignment horizontal="center" vertical="center" wrapText="1"/>
    </xf>
    <xf numFmtId="1" fontId="4" fillId="0" borderId="20" xfId="44" applyNumberFormat="1" applyFont="1" applyBorder="1" applyAlignment="1">
      <alignment horizontal="center" vertical="center" wrapText="1"/>
    </xf>
    <xf numFmtId="1" fontId="4" fillId="0" borderId="21" xfId="44" applyNumberFormat="1" applyFont="1" applyBorder="1" applyAlignment="1">
      <alignment horizontal="center" vertical="center" wrapText="1"/>
    </xf>
    <xf numFmtId="10" fontId="31" fillId="0" borderId="14" xfId="0" applyNumberFormat="1" applyFont="1" applyBorder="1" applyAlignment="1">
      <alignment horizontal="center" vertical="center"/>
    </xf>
    <xf numFmtId="9" fontId="39" fillId="0" borderId="14" xfId="0" applyNumberFormat="1" applyFont="1" applyBorder="1" applyAlignment="1">
      <alignment horizontal="center" vertical="center" wrapText="1"/>
    </xf>
    <xf numFmtId="0" fontId="5" fillId="0" borderId="20" xfId="43" applyFont="1" applyBorder="1" applyAlignment="1">
      <alignment horizontal="center" vertical="top" wrapText="1"/>
    </xf>
    <xf numFmtId="0" fontId="39" fillId="0" borderId="0" xfId="0" applyFont="1" applyAlignment="1">
      <alignment vertical="center" wrapText="1"/>
    </xf>
    <xf numFmtId="9" fontId="39" fillId="0" borderId="14" xfId="0" applyNumberFormat="1" applyFont="1" applyBorder="1" applyAlignment="1">
      <alignment horizontal="center" vertical="center"/>
    </xf>
    <xf numFmtId="0" fontId="31" fillId="0" borderId="110" xfId="43" applyFont="1" applyBorder="1" applyAlignment="1">
      <alignment horizontal="center" vertical="center" wrapText="1"/>
    </xf>
    <xf numFmtId="0" fontId="31" fillId="0" borderId="112" xfId="43" applyFont="1" applyBorder="1" applyAlignment="1">
      <alignment horizontal="center" vertical="center" wrapText="1"/>
    </xf>
    <xf numFmtId="9" fontId="31" fillId="0" borderId="110" xfId="65" applyFont="1" applyFill="1" applyBorder="1" applyAlignment="1">
      <alignment horizontal="center" vertical="center" wrapText="1"/>
    </xf>
    <xf numFmtId="9" fontId="31" fillId="0" borderId="112" xfId="65" applyFont="1" applyFill="1" applyBorder="1" applyAlignment="1">
      <alignment horizontal="center" vertical="center" wrapText="1"/>
    </xf>
    <xf numFmtId="0" fontId="31" fillId="0" borderId="110" xfId="43" applyFont="1" applyBorder="1" applyAlignment="1">
      <alignment horizontal="left" vertical="center" wrapText="1"/>
    </xf>
    <xf numFmtId="0" fontId="31" fillId="0" borderId="112" xfId="43" applyFont="1" applyBorder="1" applyAlignment="1">
      <alignment horizontal="left" vertical="center" wrapText="1"/>
    </xf>
    <xf numFmtId="0" fontId="8" fillId="0" borderId="0" xfId="47" applyFont="1" applyAlignment="1">
      <alignment vertical="center" wrapText="1"/>
    </xf>
    <xf numFmtId="0" fontId="8" fillId="0" borderId="0" xfId="47" applyFont="1" applyAlignment="1">
      <alignment horizontal="center" vertical="center" wrapText="1"/>
    </xf>
    <xf numFmtId="0" fontId="31" fillId="0" borderId="97" xfId="43" applyFont="1" applyBorder="1" applyAlignment="1">
      <alignment horizontal="center" vertical="center" wrapText="1"/>
    </xf>
    <xf numFmtId="0" fontId="31" fillId="0" borderId="95" xfId="43" applyFont="1" applyBorder="1" applyAlignment="1">
      <alignment horizontal="center" vertical="center" wrapText="1"/>
    </xf>
    <xf numFmtId="0" fontId="31" fillId="0" borderId="33" xfId="43" applyFont="1" applyBorder="1" applyAlignment="1">
      <alignment horizontal="center" vertical="center" wrapText="1"/>
    </xf>
    <xf numFmtId="0" fontId="31" fillId="0" borderId="97" xfId="43" applyFont="1" applyBorder="1" applyAlignment="1">
      <alignment horizontal="left" vertical="center" wrapText="1"/>
    </xf>
    <xf numFmtId="0" fontId="31" fillId="0" borderId="33" xfId="43" applyFont="1" applyBorder="1" applyAlignment="1">
      <alignment horizontal="left" vertical="center" wrapText="1"/>
    </xf>
    <xf numFmtId="0" fontId="36" fillId="0" borderId="110" xfId="43" applyFont="1" applyBorder="1" applyAlignment="1">
      <alignment horizontal="left" vertical="center" wrapText="1"/>
    </xf>
    <xf numFmtId="1" fontId="31" fillId="0" borderId="97" xfId="43" applyNumberFormat="1" applyFont="1" applyBorder="1" applyAlignment="1">
      <alignment horizontal="center" vertical="center" wrapText="1"/>
    </xf>
    <xf numFmtId="1" fontId="31" fillId="0" borderId="95" xfId="43" applyNumberFormat="1" applyFont="1" applyBorder="1" applyAlignment="1">
      <alignment horizontal="center" vertical="center" wrapText="1"/>
    </xf>
    <xf numFmtId="1" fontId="31" fillId="0" borderId="33" xfId="43" applyNumberFormat="1" applyFont="1" applyBorder="1" applyAlignment="1">
      <alignment horizontal="center" vertical="center" wrapText="1"/>
    </xf>
    <xf numFmtId="9" fontId="39" fillId="0" borderId="97" xfId="65" applyFont="1" applyFill="1" applyBorder="1" applyAlignment="1">
      <alignment horizontal="center" vertical="center" wrapText="1"/>
    </xf>
    <xf numFmtId="9" fontId="39" fillId="0" borderId="33" xfId="65" applyFont="1" applyFill="1" applyBorder="1" applyAlignment="1">
      <alignment horizontal="center" vertical="center" wrapText="1"/>
    </xf>
    <xf numFmtId="1" fontId="31" fillId="0" borderId="110" xfId="43" applyNumberFormat="1" applyFont="1" applyBorder="1" applyAlignment="1">
      <alignment horizontal="center" vertical="center" wrapText="1"/>
    </xf>
    <xf numFmtId="9" fontId="39" fillId="0" borderId="110" xfId="65" applyFont="1" applyFill="1" applyBorder="1" applyAlignment="1">
      <alignment horizontal="center" vertical="center" wrapText="1"/>
    </xf>
    <xf numFmtId="0" fontId="31" fillId="0" borderId="95" xfId="43" applyFont="1" applyBorder="1" applyAlignment="1">
      <alignment horizontal="left" vertical="center" wrapText="1"/>
    </xf>
    <xf numFmtId="10" fontId="31" fillId="0" borderId="110" xfId="65" applyNumberFormat="1" applyFont="1" applyFill="1" applyBorder="1" applyAlignment="1">
      <alignment horizontal="center" vertical="center" wrapText="1"/>
    </xf>
    <xf numFmtId="0" fontId="31" fillId="0" borderId="110" xfId="43" applyFont="1" applyBorder="1" applyAlignment="1">
      <alignment horizontal="center" vertical="center"/>
    </xf>
    <xf numFmtId="14" fontId="31" fillId="0" borderId="110" xfId="43" applyNumberFormat="1" applyFont="1" applyBorder="1" applyAlignment="1">
      <alignment horizontal="center" vertical="center" wrapText="1"/>
    </xf>
    <xf numFmtId="9" fontId="31" fillId="0" borderId="97" xfId="65" applyFont="1" applyFill="1" applyBorder="1" applyAlignment="1">
      <alignment horizontal="center" vertical="center" wrapText="1"/>
    </xf>
    <xf numFmtId="9" fontId="31" fillId="0" borderId="95" xfId="65" applyFont="1" applyFill="1" applyBorder="1" applyAlignment="1">
      <alignment horizontal="center" vertical="center" wrapText="1"/>
    </xf>
    <xf numFmtId="9" fontId="31" fillId="0" borderId="33" xfId="65" applyFont="1" applyFill="1" applyBorder="1" applyAlignment="1">
      <alignment horizontal="center" vertical="center" wrapText="1"/>
    </xf>
    <xf numFmtId="0" fontId="36" fillId="0" borderId="110" xfId="43" applyFont="1" applyBorder="1" applyAlignment="1">
      <alignment horizontal="center" vertical="center" wrapText="1"/>
    </xf>
    <xf numFmtId="0" fontId="36" fillId="0" borderId="97" xfId="43" applyFont="1" applyBorder="1" applyAlignment="1">
      <alignment horizontal="center" vertical="center" wrapText="1"/>
    </xf>
    <xf numFmtId="0" fontId="36" fillId="0" borderId="95" xfId="43" applyFont="1" applyBorder="1" applyAlignment="1">
      <alignment horizontal="center" vertical="center" wrapText="1"/>
    </xf>
    <xf numFmtId="0" fontId="36" fillId="0" borderId="33" xfId="43" applyFont="1" applyBorder="1" applyAlignment="1">
      <alignment horizontal="center" vertical="center" wrapText="1"/>
    </xf>
    <xf numFmtId="0" fontId="52" fillId="0" borderId="1" xfId="44" applyFont="1" applyBorder="1" applyAlignment="1">
      <alignment horizontal="center" vertical="center" wrapText="1"/>
    </xf>
    <xf numFmtId="0" fontId="52" fillId="0" borderId="6" xfId="44" applyFont="1" applyBorder="1" applyAlignment="1">
      <alignment horizontal="center" vertical="center" wrapText="1"/>
    </xf>
    <xf numFmtId="0" fontId="52" fillId="0" borderId="2" xfId="44" applyFont="1" applyBorder="1" applyAlignment="1">
      <alignment horizontal="center" vertical="center" wrapText="1"/>
    </xf>
    <xf numFmtId="0" fontId="52" fillId="0" borderId="6" xfId="38" applyFont="1" applyBorder="1" applyAlignment="1">
      <alignment horizontal="center" vertical="center" wrapText="1"/>
    </xf>
    <xf numFmtId="0" fontId="52" fillId="0" borderId="2" xfId="38" applyFont="1" applyBorder="1" applyAlignment="1">
      <alignment horizontal="center" vertical="center" wrapText="1"/>
    </xf>
    <xf numFmtId="0" fontId="52" fillId="0" borderId="6" xfId="39" applyFont="1" applyBorder="1" applyAlignment="1">
      <alignment horizontal="center" vertical="center" wrapText="1"/>
    </xf>
    <xf numFmtId="0" fontId="52" fillId="0" borderId="2" xfId="39" applyFont="1" applyBorder="1" applyAlignment="1">
      <alignment horizontal="center" vertical="center" wrapText="1"/>
    </xf>
    <xf numFmtId="0" fontId="52" fillId="0" borderId="6" xfId="43" applyFont="1" applyBorder="1" applyAlignment="1">
      <alignment horizontal="center" vertical="center" wrapText="1"/>
    </xf>
    <xf numFmtId="0" fontId="52" fillId="0" borderId="2" xfId="43" applyFont="1" applyBorder="1" applyAlignment="1">
      <alignment horizontal="center" vertical="center" wrapText="1"/>
    </xf>
    <xf numFmtId="0" fontId="53" fillId="0" borderId="1" xfId="39" applyFont="1" applyBorder="1" applyAlignment="1">
      <alignment horizontal="center" vertical="center" wrapText="1"/>
    </xf>
    <xf numFmtId="0" fontId="38" fillId="0" borderId="0" xfId="0" applyFont="1" applyFill="1" applyAlignment="1">
      <alignment vertical="center"/>
    </xf>
    <xf numFmtId="0" fontId="14" fillId="0" borderId="0" xfId="35" applyNumberFormat="1" applyFont="1" applyAlignment="1">
      <alignment horizontal="center" vertical="center"/>
    </xf>
    <xf numFmtId="0" fontId="14" fillId="0" borderId="0" xfId="35" quotePrefix="1" applyNumberFormat="1" applyFont="1" applyAlignment="1">
      <alignment horizontal="center" vertical="center"/>
    </xf>
    <xf numFmtId="3" fontId="38" fillId="0" borderId="0" xfId="0" applyNumberFormat="1" applyFont="1" applyFill="1" applyAlignment="1">
      <alignment horizontal="right" vertical="center" wrapText="1"/>
    </xf>
  </cellXfs>
  <cellStyles count="91">
    <cellStyle name="Error" xfId="82" xr:uid="{00000000-0005-0000-0000-000000000000}"/>
    <cellStyle name="Euro" xfId="1" xr:uid="{00000000-0005-0000-0000-000001000000}"/>
    <cellStyle name="Euro 2" xfId="2" xr:uid="{00000000-0005-0000-0000-000002000000}"/>
    <cellStyle name="Excel Built-in Normal" xfId="3" xr:uid="{00000000-0005-0000-0000-000003000000}"/>
    <cellStyle name="Excel Built-in Normal 1" xfId="4" xr:uid="{00000000-0005-0000-0000-000004000000}"/>
    <cellStyle name="Excel Built-in Normal 2" xfId="5" xr:uid="{00000000-0005-0000-0000-000005000000}"/>
    <cellStyle name="Excel_BuiltIn_Texto explicativo" xfId="6" xr:uid="{00000000-0005-0000-0000-000006000000}"/>
    <cellStyle name="Millares" xfId="86" builtinId="3"/>
    <cellStyle name="Millares [0]" xfId="87" builtinId="6"/>
    <cellStyle name="Millares [0] 2" xfId="7" xr:uid="{00000000-0005-0000-0000-000009000000}"/>
    <cellStyle name="Millares [0] 2 2" xfId="77" xr:uid="{00000000-0005-0000-0000-00000A000000}"/>
    <cellStyle name="Millares [0] 3" xfId="8" xr:uid="{00000000-0005-0000-0000-00000B000000}"/>
    <cellStyle name="Millares [0] 4" xfId="9" xr:uid="{00000000-0005-0000-0000-00000C000000}"/>
    <cellStyle name="Millares [0] 5" xfId="10" xr:uid="{00000000-0005-0000-0000-00000D000000}"/>
    <cellStyle name="Millares [0] 5 2" xfId="11" xr:uid="{00000000-0005-0000-0000-00000E000000}"/>
    <cellStyle name="Millares [0] 6" xfId="12" xr:uid="{00000000-0005-0000-0000-00000F000000}"/>
    <cellStyle name="Millares 10" xfId="13" xr:uid="{00000000-0005-0000-0000-000010000000}"/>
    <cellStyle name="Millares 11" xfId="14" xr:uid="{00000000-0005-0000-0000-000011000000}"/>
    <cellStyle name="Millares 12" xfId="15" xr:uid="{00000000-0005-0000-0000-000012000000}"/>
    <cellStyle name="Millares 2" xfId="16" xr:uid="{00000000-0005-0000-0000-000013000000}"/>
    <cellStyle name="Millares 2 2" xfId="17" xr:uid="{00000000-0005-0000-0000-000014000000}"/>
    <cellStyle name="Millares 2 2 2" xfId="18" xr:uid="{00000000-0005-0000-0000-000015000000}"/>
    <cellStyle name="Millares 2 2 2 2" xfId="19" xr:uid="{00000000-0005-0000-0000-000016000000}"/>
    <cellStyle name="Millares 2 2 3" xfId="20" xr:uid="{00000000-0005-0000-0000-000017000000}"/>
    <cellStyle name="Millares 2 3" xfId="21" xr:uid="{00000000-0005-0000-0000-000018000000}"/>
    <cellStyle name="Millares 3" xfId="22" xr:uid="{00000000-0005-0000-0000-000019000000}"/>
    <cellStyle name="Millares 4" xfId="23" xr:uid="{00000000-0005-0000-0000-00001A000000}"/>
    <cellStyle name="Millares 4 2" xfId="24" xr:uid="{00000000-0005-0000-0000-00001B000000}"/>
    <cellStyle name="Millares 5" xfId="25" xr:uid="{00000000-0005-0000-0000-00001C000000}"/>
    <cellStyle name="Millares 5 2" xfId="26" xr:uid="{00000000-0005-0000-0000-00001D000000}"/>
    <cellStyle name="Millares 6" xfId="27" xr:uid="{00000000-0005-0000-0000-00001E000000}"/>
    <cellStyle name="Millares 7" xfId="28" xr:uid="{00000000-0005-0000-0000-00001F000000}"/>
    <cellStyle name="Millares 8" xfId="29" xr:uid="{00000000-0005-0000-0000-000020000000}"/>
    <cellStyle name="Millares 9" xfId="30" xr:uid="{00000000-0005-0000-0000-000021000000}"/>
    <cellStyle name="Moneda" xfId="88" builtinId="4"/>
    <cellStyle name="Moneda [0]" xfId="90" builtinId="7"/>
    <cellStyle name="Moneda [0] 2" xfId="76" xr:uid="{00000000-0005-0000-0000-000024000000}"/>
    <cellStyle name="Moneda [0] 3" xfId="31" xr:uid="{00000000-0005-0000-0000-000025000000}"/>
    <cellStyle name="Moneda [0] 5" xfId="32" xr:uid="{00000000-0005-0000-0000-000026000000}"/>
    <cellStyle name="Moneda 2" xfId="33" xr:uid="{00000000-0005-0000-0000-000027000000}"/>
    <cellStyle name="Moneda 5" xfId="34" xr:uid="{00000000-0005-0000-0000-000028000000}"/>
    <cellStyle name="Normal" xfId="0" builtinId="0"/>
    <cellStyle name="Normal 10 2" xfId="84" xr:uid="{311F6B21-7B6F-4204-9FCF-E8DF16C6619D}"/>
    <cellStyle name="Normal 11" xfId="85" xr:uid="{B266DC12-DB12-4FBC-8ED7-FB3914FF6FDE}"/>
    <cellStyle name="Normal 112" xfId="35" xr:uid="{00000000-0005-0000-0000-00002A000000}"/>
    <cellStyle name="Normal 113" xfId="36" xr:uid="{00000000-0005-0000-0000-00002B000000}"/>
    <cellStyle name="Normal 114" xfId="37" xr:uid="{00000000-0005-0000-0000-00002C000000}"/>
    <cellStyle name="Normal 2" xfId="38" xr:uid="{00000000-0005-0000-0000-00002D000000}"/>
    <cellStyle name="Normal 2 2" xfId="39" xr:uid="{00000000-0005-0000-0000-00002E000000}"/>
    <cellStyle name="Normal 2 2 2" xfId="40" xr:uid="{00000000-0005-0000-0000-00002F000000}"/>
    <cellStyle name="Normal 2 3" xfId="41" xr:uid="{00000000-0005-0000-0000-000030000000}"/>
    <cellStyle name="Normal 2 3 2" xfId="42" xr:uid="{00000000-0005-0000-0000-000031000000}"/>
    <cellStyle name="Normal 3" xfId="43" xr:uid="{00000000-0005-0000-0000-000032000000}"/>
    <cellStyle name="Normal 3 2" xfId="44" xr:uid="{00000000-0005-0000-0000-000033000000}"/>
    <cellStyle name="Normal 3 2 2" xfId="45" xr:uid="{00000000-0005-0000-0000-000034000000}"/>
    <cellStyle name="Normal 3 2 2 2" xfId="46" xr:uid="{00000000-0005-0000-0000-000035000000}"/>
    <cellStyle name="Normal 3 2 3" xfId="47" xr:uid="{00000000-0005-0000-0000-000036000000}"/>
    <cellStyle name="Normal 3 2_Cuadro 1F Plan de Accion 2012" xfId="48" xr:uid="{00000000-0005-0000-0000-000037000000}"/>
    <cellStyle name="Normal 3 3" xfId="49" xr:uid="{00000000-0005-0000-0000-000038000000}"/>
    <cellStyle name="Normal 3 3 2" xfId="75" xr:uid="{00000000-0005-0000-0000-000039000000}"/>
    <cellStyle name="Normal 3 4" xfId="50" xr:uid="{00000000-0005-0000-0000-00003A000000}"/>
    <cellStyle name="Normal 3_Copia de Cuadro 1F Plan de Accion 2012" xfId="51" xr:uid="{00000000-0005-0000-0000-00003B000000}"/>
    <cellStyle name="Normal 3_Cuadro 1F Plan de Accion 2012" xfId="89" xr:uid="{F49B9DB5-2B5F-4DDD-AEDB-1F049E92DECB}"/>
    <cellStyle name="Normal 4" xfId="52" xr:uid="{00000000-0005-0000-0000-00003D000000}"/>
    <cellStyle name="Normal 46" xfId="53" xr:uid="{00000000-0005-0000-0000-00003E000000}"/>
    <cellStyle name="Normal 47" xfId="54" xr:uid="{00000000-0005-0000-0000-00003F000000}"/>
    <cellStyle name="Normal 48" xfId="55" xr:uid="{00000000-0005-0000-0000-000040000000}"/>
    <cellStyle name="Normal 5" xfId="56" xr:uid="{00000000-0005-0000-0000-000041000000}"/>
    <cellStyle name="Normal 5 2" xfId="57" xr:uid="{00000000-0005-0000-0000-000042000000}"/>
    <cellStyle name="Normal 6" xfId="58" xr:uid="{00000000-0005-0000-0000-000043000000}"/>
    <cellStyle name="Normal 6 2" xfId="59" xr:uid="{00000000-0005-0000-0000-000044000000}"/>
    <cellStyle name="Normal 7" xfId="60" xr:uid="{00000000-0005-0000-0000-000045000000}"/>
    <cellStyle name="Normal 8" xfId="61" xr:uid="{00000000-0005-0000-0000-000046000000}"/>
    <cellStyle name="Normal 8 2" xfId="62" xr:uid="{00000000-0005-0000-0000-000047000000}"/>
    <cellStyle name="Normal 8 2 2" xfId="81" xr:uid="{00000000-0005-0000-0000-000048000000}"/>
    <cellStyle name="Normal 8 2 2 2" xfId="83" xr:uid="{00000000-0005-0000-0000-000049000000}"/>
    <cellStyle name="Normal 8 3" xfId="80" xr:uid="{00000000-0005-0000-0000-00004A000000}"/>
    <cellStyle name="Porcentaje" xfId="63" builtinId="5"/>
    <cellStyle name="Porcentaje 2" xfId="64" xr:uid="{00000000-0005-0000-0000-00004D000000}"/>
    <cellStyle name="Porcentaje 2 2" xfId="65" xr:uid="{00000000-0005-0000-0000-00004E000000}"/>
    <cellStyle name="Porcentaje 3" xfId="66" xr:uid="{00000000-0005-0000-0000-00004F000000}"/>
    <cellStyle name="Porcentaje 3 2" xfId="67" xr:uid="{00000000-0005-0000-0000-000050000000}"/>
    <cellStyle name="Porcentaje 3 2 2" xfId="68" xr:uid="{00000000-0005-0000-0000-000051000000}"/>
    <cellStyle name="Porcentaje 3 2 2 2" xfId="69" xr:uid="{00000000-0005-0000-0000-000052000000}"/>
    <cellStyle name="Porcentaje 3 3" xfId="79" xr:uid="{00000000-0005-0000-0000-000053000000}"/>
    <cellStyle name="Porcentaje 4" xfId="70" xr:uid="{00000000-0005-0000-0000-000054000000}"/>
    <cellStyle name="Porcentaje 5" xfId="78" xr:uid="{00000000-0005-0000-0000-000055000000}"/>
    <cellStyle name="Porcentual 2" xfId="71" xr:uid="{00000000-0005-0000-0000-000056000000}"/>
    <cellStyle name="Porcentual 3" xfId="72" xr:uid="{00000000-0005-0000-0000-000057000000}"/>
    <cellStyle name="Porcentual 4" xfId="73" xr:uid="{00000000-0005-0000-0000-000058000000}"/>
    <cellStyle name="Porcentual 5" xfId="74" xr:uid="{00000000-0005-0000-0000-000059000000}"/>
  </cellStyles>
  <dxfs count="4">
    <dxf>
      <font>
        <color rgb="FF000000"/>
      </font>
      <fill>
        <patternFill patternType="solid">
          <fgColor rgb="FFFFFFCC"/>
          <bgColor rgb="FFFFFFCC"/>
        </patternFill>
      </fill>
    </dxf>
    <dxf>
      <fill>
        <patternFill>
          <bgColor theme="0"/>
        </patternFill>
      </fill>
    </dxf>
    <dxf>
      <fill>
        <patternFill>
          <bgColor theme="0"/>
        </patternFill>
      </fill>
    </dxf>
    <dxf>
      <fill>
        <patternFill>
          <bgColor theme="0"/>
        </patternFill>
      </fill>
    </dxf>
  </dxfs>
  <tableStyles count="1" defaultTableStyle="TableStyleMedium9" defaultPivotStyle="PivotStyleLight16">
    <tableStyle name="Invisible" pivot="0" table="0" count="0" xr9:uid="{C2FCB510-9C56-48F4-8E3E-9CE106EE083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Ejecución presupuestal</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 Administación Central</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Enero- Junio de 2024</a:t>
            </a:r>
          </a:p>
        </c:rich>
      </c:tx>
      <c:overlay val="0"/>
      <c:spPr>
        <a:noFill/>
        <a:ln w="25400">
          <a:noFill/>
        </a:ln>
      </c:spPr>
    </c:title>
    <c:autoTitleDeleted val="0"/>
    <c:plotArea>
      <c:layout>
        <c:manualLayout>
          <c:layoutTarget val="inner"/>
          <c:xMode val="edge"/>
          <c:yMode val="edge"/>
          <c:x val="0.24705940553242367"/>
          <c:y val="0.31072982031092267"/>
          <c:w val="0.52010333786810692"/>
          <c:h val="0.61132146174035951"/>
        </c:manualLayout>
      </c:layout>
      <c:doughnutChart>
        <c:varyColors val="1"/>
        <c:ser>
          <c:idx val="0"/>
          <c:order val="0"/>
          <c:tx>
            <c:strRef>
              <c:f>'Junio de 2024'!$B$45</c:f>
              <c:strCache>
                <c:ptCount val="1"/>
                <c:pt idx="0">
                  <c:v>Segmento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A58A-4EA7-A835-EC4FC0FFF2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A58A-4EA7-A835-EC4FC0FFF2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A58A-4EA7-A835-EC4FC0FFF2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A58A-4EA7-A835-EC4FC0FFF2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A58A-4EA7-A835-EC4FC0FFF24A}"/>
              </c:ext>
            </c:extLst>
          </c:dPt>
          <c:dPt>
            <c:idx val="5"/>
            <c:bubble3D val="0"/>
            <c:spPr>
              <a:noFill/>
              <a:ln w="19050">
                <a:solidFill>
                  <a:schemeClr val="lt1"/>
                </a:solidFill>
              </a:ln>
              <a:effectLst/>
            </c:spPr>
            <c:extLst>
              <c:ext xmlns:c16="http://schemas.microsoft.com/office/drawing/2014/chart" uri="{C3380CC4-5D6E-409C-BE32-E72D297353CC}">
                <c16:uniqueId val="{00000005-A58A-4EA7-A835-EC4FC0FFF24A}"/>
              </c:ext>
            </c:extLst>
          </c:dPt>
          <c:dLbls>
            <c:dLbl>
              <c:idx val="0"/>
              <c:layout>
                <c:manualLayout>
                  <c:x val="-7.9988456940264699E-2"/>
                  <c:y val="5.5555501716131488E-2"/>
                </c:manualLayout>
              </c:layout>
              <c:tx>
                <c:rich>
                  <a:bodyPr/>
                  <a:lstStyle/>
                  <a:p>
                    <a:pPr>
                      <a:defRPr sz="900" b="0" i="0" u="none" strike="noStrike" baseline="0">
                        <a:solidFill>
                          <a:srgbClr val="333333"/>
                        </a:solidFill>
                        <a:latin typeface="Calibri"/>
                        <a:ea typeface="Calibri"/>
                        <a:cs typeface="Calibri"/>
                      </a:defRPr>
                    </a:pPr>
                    <a:r>
                      <a:rPr lang="en-US"/>
                      <a:t>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58A-4EA7-A835-EC4FC0FFF24A}"/>
                </c:ext>
              </c:extLst>
            </c:dLbl>
            <c:dLbl>
              <c:idx val="1"/>
              <c:layout>
                <c:manualLayout>
                  <c:x val="-0.11403443679487708"/>
                  <c:y val="-7.521280634891811E-17"/>
                </c:manualLayout>
              </c:layout>
              <c:tx>
                <c:rich>
                  <a:bodyPr/>
                  <a:lstStyle/>
                  <a:p>
                    <a:pPr>
                      <a:defRPr sz="900" b="0" i="0" u="none" strike="noStrike" baseline="0">
                        <a:solidFill>
                          <a:srgbClr val="333333"/>
                        </a:solidFill>
                        <a:latin typeface="Calibri"/>
                        <a:ea typeface="Calibri"/>
                        <a:cs typeface="Calibri"/>
                      </a:defRPr>
                    </a:pPr>
                    <a:r>
                      <a:rPr lang="en-US"/>
                      <a:t>20%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A58A-4EA7-A835-EC4FC0FFF24A}"/>
                </c:ext>
              </c:extLst>
            </c:dLbl>
            <c:dLbl>
              <c:idx val="2"/>
              <c:layout>
                <c:manualLayout>
                  <c:x val="-8.9747014607467257E-2"/>
                  <c:y val="-6.7863194023823945E-2"/>
                </c:manualLayout>
              </c:layout>
              <c:tx>
                <c:rich>
                  <a:bodyPr/>
                  <a:lstStyle/>
                  <a:p>
                    <a:pPr>
                      <a:defRPr sz="900" b="0" i="0" u="none" strike="noStrike" baseline="0">
                        <a:solidFill>
                          <a:srgbClr val="333333"/>
                        </a:solidFill>
                        <a:latin typeface="Calibri"/>
                        <a:ea typeface="Calibri"/>
                        <a:cs typeface="Calibri"/>
                      </a:defRPr>
                    </a:pPr>
                    <a:r>
                      <a:rPr lang="en-US"/>
                      <a:t>40%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58A-4EA7-A835-EC4FC0FFF24A}"/>
                </c:ext>
              </c:extLst>
            </c:dLbl>
            <c:dLbl>
              <c:idx val="3"/>
              <c:layout>
                <c:manualLayout>
                  <c:x val="-2.7138008272526142E-2"/>
                  <c:y val="-0.1100569351907935"/>
                </c:manualLayout>
              </c:layout>
              <c:tx>
                <c:rich>
                  <a:bodyPr/>
                  <a:lstStyle/>
                  <a:p>
                    <a:pPr>
                      <a:defRPr sz="900" b="0" i="0" u="none" strike="noStrike" baseline="0">
                        <a:solidFill>
                          <a:srgbClr val="333333"/>
                        </a:solidFill>
                        <a:latin typeface="Calibri"/>
                        <a:ea typeface="Calibri"/>
                        <a:cs typeface="Calibri"/>
                      </a:defRPr>
                    </a:pPr>
                    <a:r>
                      <a:rPr lang="en-US"/>
                      <a:t>60%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A58A-4EA7-A835-EC4FC0FFF24A}"/>
                </c:ext>
              </c:extLst>
            </c:dLbl>
            <c:dLbl>
              <c:idx val="4"/>
              <c:layout>
                <c:manualLayout>
                  <c:x val="2.7777823583570251E-2"/>
                  <c:y val="-0.12699438724005654"/>
                </c:manualLayout>
              </c:layout>
              <c:tx>
                <c:rich>
                  <a:bodyPr/>
                  <a:lstStyle/>
                  <a:p>
                    <a:pPr>
                      <a:defRPr sz="900" b="0" i="0" u="none" strike="noStrike" baseline="0">
                        <a:solidFill>
                          <a:srgbClr val="333333"/>
                        </a:solidFill>
                        <a:latin typeface="Calibri"/>
                        <a:ea typeface="Calibri"/>
                        <a:cs typeface="Calibri"/>
                      </a:defRPr>
                    </a:pPr>
                    <a:r>
                      <a:rPr lang="en-US"/>
                      <a:t>80%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58A-4EA7-A835-EC4FC0FFF24A}"/>
                </c:ext>
              </c:extLst>
            </c:dLbl>
            <c:dLbl>
              <c:idx val="5"/>
              <c:layout>
                <c:manualLayout>
                  <c:x val="0.30257410232097953"/>
                  <c:y val="-0.26851863517060365"/>
                </c:manualLayout>
              </c:layout>
              <c:tx>
                <c:rich>
                  <a:bodyPr/>
                  <a:lstStyle/>
                  <a:p>
                    <a:pPr>
                      <a:defRPr sz="900" b="0" i="0" u="none" strike="noStrike" baseline="0">
                        <a:solidFill>
                          <a:srgbClr val="333333"/>
                        </a:solidFill>
                        <a:latin typeface="Calibri"/>
                        <a:ea typeface="Calibri"/>
                        <a:cs typeface="Calibri"/>
                      </a:defRPr>
                    </a:pPr>
                    <a:r>
                      <a:rPr lang="en-US"/>
                      <a:t>100%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58A-4EA7-A835-EC4FC0FFF24A}"/>
                </c:ext>
              </c:extLst>
            </c:dLbl>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CO"/>
              </a:p>
            </c:txPr>
            <c:showLegendKey val="0"/>
            <c:showVal val="1"/>
            <c:showCatName val="0"/>
            <c:showSerName val="1"/>
            <c:showPercent val="0"/>
            <c:showBubbleSize val="0"/>
            <c:showLeaderLines val="0"/>
            <c:extLst>
              <c:ext xmlns:c15="http://schemas.microsoft.com/office/drawing/2012/chart" uri="{CE6537A1-D6FC-4f65-9D91-7224C49458BB}"/>
            </c:extLst>
          </c:dLbls>
          <c:cat>
            <c:numRef>
              <c:f>'Junio de 2024'!$A$46:$A$51</c:f>
              <c:numCache>
                <c:formatCode>0.00%</c:formatCode>
                <c:ptCount val="6"/>
                <c:pt idx="0">
                  <c:v>0</c:v>
                </c:pt>
                <c:pt idx="1">
                  <c:v>0.2</c:v>
                </c:pt>
                <c:pt idx="2">
                  <c:v>0.4</c:v>
                </c:pt>
                <c:pt idx="3">
                  <c:v>0.6</c:v>
                </c:pt>
                <c:pt idx="4">
                  <c:v>0.8</c:v>
                </c:pt>
                <c:pt idx="5">
                  <c:v>1</c:v>
                </c:pt>
              </c:numCache>
            </c:numRef>
          </c:cat>
          <c:val>
            <c:numRef>
              <c:f>'Junio de 2024'!$B$46:$B$51</c:f>
              <c:numCache>
                <c:formatCode>General</c:formatCode>
                <c:ptCount val="6"/>
                <c:pt idx="0">
                  <c:v>0.2</c:v>
                </c:pt>
                <c:pt idx="1">
                  <c:v>0.2</c:v>
                </c:pt>
                <c:pt idx="2">
                  <c:v>0.2</c:v>
                </c:pt>
                <c:pt idx="3">
                  <c:v>0.2</c:v>
                </c:pt>
                <c:pt idx="4">
                  <c:v>0.2</c:v>
                </c:pt>
                <c:pt idx="5">
                  <c:v>1</c:v>
                </c:pt>
              </c:numCache>
            </c:numRef>
          </c:val>
          <c:extLst>
            <c:ext xmlns:c16="http://schemas.microsoft.com/office/drawing/2014/chart" uri="{C3380CC4-5D6E-409C-BE32-E72D297353CC}">
              <c16:uniqueId val="{00000006-A58A-4EA7-A835-EC4FC0FFF24A}"/>
            </c:ext>
          </c:extLst>
        </c:ser>
        <c:dLbls>
          <c:showLegendKey val="0"/>
          <c:showVal val="0"/>
          <c:showCatName val="0"/>
          <c:showSerName val="0"/>
          <c:showPercent val="0"/>
          <c:showBubbleSize val="0"/>
          <c:showLeaderLines val="0"/>
        </c:dLbls>
        <c:firstSliceAng val="270"/>
        <c:holeSize val="74"/>
      </c:doughnutChart>
      <c:scatterChart>
        <c:scatterStyle val="lineMarker"/>
        <c:varyColors val="0"/>
        <c:ser>
          <c:idx val="1"/>
          <c:order val="1"/>
          <c:tx>
            <c:strRef>
              <c:f>'Junio de 2024'!$A$53</c:f>
              <c:strCache>
                <c:ptCount val="1"/>
                <c:pt idx="0">
                  <c:v>Grados1</c:v>
                </c:pt>
              </c:strCache>
            </c:strRef>
          </c:tx>
          <c:spPr>
            <a:ln w="38100" cap="rnd">
              <a:solidFill>
                <a:schemeClr val="accent6">
                  <a:lumMod val="75000"/>
                </a:schemeClr>
              </a:solidFill>
              <a:round/>
            </a:ln>
            <a:effectLst/>
          </c:spPr>
          <c:marker>
            <c:symbol val="circle"/>
            <c:size val="5"/>
            <c:spPr>
              <a:noFill/>
              <a:ln w="9525">
                <a:solidFill>
                  <a:schemeClr val="accent2"/>
                </a:solidFill>
              </a:ln>
              <a:effectLst/>
            </c:spPr>
          </c:marker>
          <c:xVal>
            <c:numRef>
              <c:f>'Junio de 2024'!$B$56:$B$57</c:f>
              <c:numCache>
                <c:formatCode>0.0000</c:formatCode>
                <c:ptCount val="2"/>
                <c:pt idx="0" formatCode="General">
                  <c:v>0</c:v>
                </c:pt>
                <c:pt idx="1">
                  <c:v>-0.12233597226759918</c:v>
                </c:pt>
              </c:numCache>
            </c:numRef>
          </c:xVal>
          <c:yVal>
            <c:numRef>
              <c:f>'Junio de 2024'!$C$56:$C$57</c:f>
              <c:numCache>
                <c:formatCode>0.0000</c:formatCode>
                <c:ptCount val="2"/>
                <c:pt idx="0" formatCode="General">
                  <c:v>0</c:v>
                </c:pt>
                <c:pt idx="1">
                  <c:v>0.99248874547238131</c:v>
                </c:pt>
              </c:numCache>
            </c:numRef>
          </c:yVal>
          <c:smooth val="0"/>
          <c:extLst>
            <c:ext xmlns:c16="http://schemas.microsoft.com/office/drawing/2014/chart" uri="{C3380CC4-5D6E-409C-BE32-E72D297353CC}">
              <c16:uniqueId val="{00000007-A58A-4EA7-A835-EC4FC0FFF24A}"/>
            </c:ext>
          </c:extLst>
        </c:ser>
        <c:dLbls>
          <c:showLegendKey val="0"/>
          <c:showVal val="0"/>
          <c:showCatName val="0"/>
          <c:showSerName val="0"/>
          <c:showPercent val="0"/>
          <c:showBubbleSize val="0"/>
        </c:dLbls>
        <c:axId val="487275280"/>
        <c:axId val="487273320"/>
      </c:scatterChart>
      <c:valAx>
        <c:axId val="487275280"/>
        <c:scaling>
          <c:orientation val="minMax"/>
          <c:max val="1"/>
          <c:min val="-1"/>
        </c:scaling>
        <c:delete val="0"/>
        <c:axPos val="b"/>
        <c:numFmt formatCode="General" sourceLinked="1"/>
        <c:majorTickMark val="none"/>
        <c:minorTickMark val="none"/>
        <c:tickLblPos val="none"/>
        <c:spPr>
          <a:ln w="9525">
            <a:noFill/>
          </a:ln>
        </c:spPr>
        <c:crossAx val="487273320"/>
        <c:crossesAt val="0"/>
        <c:crossBetween val="midCat"/>
      </c:valAx>
      <c:valAx>
        <c:axId val="487273320"/>
        <c:scaling>
          <c:orientation val="minMax"/>
          <c:max val="1"/>
          <c:min val="-1"/>
        </c:scaling>
        <c:delete val="0"/>
        <c:axPos val="l"/>
        <c:numFmt formatCode="General" sourceLinked="1"/>
        <c:majorTickMark val="out"/>
        <c:minorTickMark val="none"/>
        <c:tickLblPos val="none"/>
        <c:spPr>
          <a:ln w="9525">
            <a:noFill/>
          </a:ln>
        </c:spPr>
        <c:crossAx val="487275280"/>
        <c:crossesAt val="0"/>
        <c:crossBetween val="midCat"/>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Pagos </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Administación Central</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Enero-Junio de 2024</a:t>
            </a:r>
          </a:p>
        </c:rich>
      </c:tx>
      <c:overlay val="0"/>
      <c:spPr>
        <a:noFill/>
        <a:ln w="25400">
          <a:noFill/>
        </a:ln>
      </c:spPr>
    </c:title>
    <c:autoTitleDeleted val="0"/>
    <c:plotArea>
      <c:layout>
        <c:manualLayout>
          <c:layoutTarget val="inner"/>
          <c:xMode val="edge"/>
          <c:yMode val="edge"/>
          <c:x val="0.29341331024721384"/>
          <c:y val="0.3273571011956839"/>
          <c:w val="0.493161836445837"/>
          <c:h val="0.64949475065616802"/>
        </c:manualLayout>
      </c:layout>
      <c:doughnutChart>
        <c:varyColors val="1"/>
        <c:ser>
          <c:idx val="0"/>
          <c:order val="0"/>
          <c:tx>
            <c:strRef>
              <c:f>'Junio de 2024'!$B$45</c:f>
              <c:strCache>
                <c:ptCount val="1"/>
                <c:pt idx="0">
                  <c:v>Segmento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48AC-488D-B350-59DE1A8E4D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48AC-488D-B350-59DE1A8E4D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8AC-488D-B350-59DE1A8E4D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48AC-488D-B350-59DE1A8E4D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48AC-488D-B350-59DE1A8E4DAA}"/>
              </c:ext>
            </c:extLst>
          </c:dPt>
          <c:dPt>
            <c:idx val="5"/>
            <c:bubble3D val="0"/>
            <c:spPr>
              <a:noFill/>
              <a:ln w="19050">
                <a:solidFill>
                  <a:schemeClr val="lt1"/>
                </a:solidFill>
              </a:ln>
              <a:effectLst/>
            </c:spPr>
            <c:extLst>
              <c:ext xmlns:c16="http://schemas.microsoft.com/office/drawing/2014/chart" uri="{C3380CC4-5D6E-409C-BE32-E72D297353CC}">
                <c16:uniqueId val="{00000005-48AC-488D-B350-59DE1A8E4DAA}"/>
              </c:ext>
            </c:extLst>
          </c:dPt>
          <c:dLbls>
            <c:dLbl>
              <c:idx val="0"/>
              <c:layout>
                <c:manualLayout>
                  <c:x val="-7.6498055544104104E-2"/>
                  <c:y val="5.5555555555555552E-2"/>
                </c:manualLayout>
              </c:layout>
              <c:tx>
                <c:rich>
                  <a:bodyPr/>
                  <a:lstStyle/>
                  <a:p>
                    <a:pPr>
                      <a:defRPr sz="900" b="0" i="0" u="none" strike="noStrike" baseline="0">
                        <a:solidFill>
                          <a:srgbClr val="333333"/>
                        </a:solidFill>
                        <a:latin typeface="Calibri"/>
                        <a:ea typeface="Calibri"/>
                        <a:cs typeface="Calibri"/>
                      </a:defRPr>
                    </a:pPr>
                    <a:r>
                      <a:rPr lang="en-US"/>
                      <a:t>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48AC-488D-B350-59DE1A8E4DAA}"/>
                </c:ext>
              </c:extLst>
            </c:dLbl>
            <c:dLbl>
              <c:idx val="1"/>
              <c:layout>
                <c:manualLayout>
                  <c:x val="-0.12101523958719826"/>
                  <c:y val="0"/>
                </c:manualLayout>
              </c:layout>
              <c:tx>
                <c:rich>
                  <a:bodyPr/>
                  <a:lstStyle/>
                  <a:p>
                    <a:pPr>
                      <a:defRPr sz="900" b="0" i="0" u="none" strike="noStrike" baseline="0">
                        <a:solidFill>
                          <a:srgbClr val="333333"/>
                        </a:solidFill>
                        <a:latin typeface="Calibri"/>
                        <a:ea typeface="Calibri"/>
                        <a:cs typeface="Calibri"/>
                      </a:defRPr>
                    </a:pPr>
                    <a:r>
                      <a:rPr lang="en-US"/>
                      <a:t>20%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48AC-488D-B350-59DE1A8E4DAA}"/>
                </c:ext>
              </c:extLst>
            </c:dLbl>
            <c:dLbl>
              <c:idx val="2"/>
              <c:layout>
                <c:manualLayout>
                  <c:x val="-7.5785409022825032E-2"/>
                  <c:y val="-6.018518518518523E-2"/>
                </c:manualLayout>
              </c:layout>
              <c:tx>
                <c:rich>
                  <a:bodyPr/>
                  <a:lstStyle/>
                  <a:p>
                    <a:pPr>
                      <a:defRPr sz="900" b="0" i="0" u="none" strike="noStrike" baseline="0">
                        <a:solidFill>
                          <a:srgbClr val="333333"/>
                        </a:solidFill>
                        <a:latin typeface="Calibri"/>
                        <a:ea typeface="Calibri"/>
                        <a:cs typeface="Calibri"/>
                      </a:defRPr>
                    </a:pPr>
                    <a:r>
                      <a:rPr lang="en-US"/>
                      <a:t>40%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48AC-488D-B350-59DE1A8E4DAA}"/>
                </c:ext>
              </c:extLst>
            </c:dLbl>
            <c:dLbl>
              <c:idx val="3"/>
              <c:layout>
                <c:manualLayout>
                  <c:x val="-1.6666666666666767E-2"/>
                  <c:y val="-0.10185185185185185"/>
                </c:manualLayout>
              </c:layout>
              <c:tx>
                <c:rich>
                  <a:bodyPr/>
                  <a:lstStyle/>
                  <a:p>
                    <a:pPr>
                      <a:defRPr sz="900" b="0" i="0" u="none" strike="noStrike" baseline="0">
                        <a:solidFill>
                          <a:srgbClr val="333333"/>
                        </a:solidFill>
                        <a:latin typeface="Calibri"/>
                        <a:ea typeface="Calibri"/>
                        <a:cs typeface="Calibri"/>
                      </a:defRPr>
                    </a:pPr>
                    <a:r>
                      <a:rPr lang="en-US"/>
                      <a:t>60%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48AC-488D-B350-59DE1A8E4DAA}"/>
                </c:ext>
              </c:extLst>
            </c:dLbl>
            <c:dLbl>
              <c:idx val="4"/>
              <c:layout>
                <c:manualLayout>
                  <c:x val="2.7777777777777776E-2"/>
                  <c:y val="-0.10648148148148152"/>
                </c:manualLayout>
              </c:layout>
              <c:tx>
                <c:rich>
                  <a:bodyPr/>
                  <a:lstStyle/>
                  <a:p>
                    <a:pPr>
                      <a:defRPr sz="900" b="0" i="0" u="none" strike="noStrike" baseline="0">
                        <a:solidFill>
                          <a:srgbClr val="333333"/>
                        </a:solidFill>
                        <a:latin typeface="Calibri"/>
                        <a:ea typeface="Calibri"/>
                        <a:cs typeface="Calibri"/>
                      </a:defRPr>
                    </a:pPr>
                    <a:r>
                      <a:rPr lang="en-US"/>
                      <a:t>80%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48AC-488D-B350-59DE1A8E4DAA}"/>
                </c:ext>
              </c:extLst>
            </c:dLbl>
            <c:dLbl>
              <c:idx val="5"/>
              <c:layout>
                <c:manualLayout>
                  <c:x val="0.29559329952865826"/>
                  <c:y val="-0.29629629629629628"/>
                </c:manualLayout>
              </c:layout>
              <c:tx>
                <c:rich>
                  <a:bodyPr/>
                  <a:lstStyle/>
                  <a:p>
                    <a:pPr>
                      <a:defRPr sz="900" b="0" i="0" u="none" strike="noStrike" baseline="0">
                        <a:solidFill>
                          <a:srgbClr val="333333"/>
                        </a:solidFill>
                        <a:latin typeface="Calibri"/>
                        <a:ea typeface="Calibri"/>
                        <a:cs typeface="Calibri"/>
                      </a:defRPr>
                    </a:pPr>
                    <a:r>
                      <a:rPr lang="en-US"/>
                      <a:t>100%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48AC-488D-B350-59DE1A8E4DAA}"/>
                </c:ext>
              </c:extLst>
            </c:dLbl>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CO"/>
              </a:p>
            </c:txPr>
            <c:showLegendKey val="0"/>
            <c:showVal val="1"/>
            <c:showCatName val="0"/>
            <c:showSerName val="1"/>
            <c:showPercent val="0"/>
            <c:showBubbleSize val="0"/>
            <c:showLeaderLines val="0"/>
            <c:extLst>
              <c:ext xmlns:c15="http://schemas.microsoft.com/office/drawing/2012/chart" uri="{CE6537A1-D6FC-4f65-9D91-7224C49458BB}"/>
            </c:extLst>
          </c:dLbls>
          <c:cat>
            <c:numRef>
              <c:f>'Junio de 2024'!$A$46:$A$51</c:f>
              <c:numCache>
                <c:formatCode>0.00%</c:formatCode>
                <c:ptCount val="6"/>
                <c:pt idx="0">
                  <c:v>0</c:v>
                </c:pt>
                <c:pt idx="1">
                  <c:v>0.2</c:v>
                </c:pt>
                <c:pt idx="2">
                  <c:v>0.4</c:v>
                </c:pt>
                <c:pt idx="3">
                  <c:v>0.6</c:v>
                </c:pt>
                <c:pt idx="4">
                  <c:v>0.8</c:v>
                </c:pt>
                <c:pt idx="5">
                  <c:v>1</c:v>
                </c:pt>
              </c:numCache>
            </c:numRef>
          </c:cat>
          <c:val>
            <c:numRef>
              <c:f>'Junio de 2024'!$B$46:$B$51</c:f>
              <c:numCache>
                <c:formatCode>General</c:formatCode>
                <c:ptCount val="6"/>
                <c:pt idx="0">
                  <c:v>0.2</c:v>
                </c:pt>
                <c:pt idx="1">
                  <c:v>0.2</c:v>
                </c:pt>
                <c:pt idx="2">
                  <c:v>0.2</c:v>
                </c:pt>
                <c:pt idx="3">
                  <c:v>0.2</c:v>
                </c:pt>
                <c:pt idx="4">
                  <c:v>0.2</c:v>
                </c:pt>
                <c:pt idx="5">
                  <c:v>1</c:v>
                </c:pt>
              </c:numCache>
            </c:numRef>
          </c:val>
          <c:extLst>
            <c:ext xmlns:c16="http://schemas.microsoft.com/office/drawing/2014/chart" uri="{C3380CC4-5D6E-409C-BE32-E72D297353CC}">
              <c16:uniqueId val="{00000006-48AC-488D-B350-59DE1A8E4DAA}"/>
            </c:ext>
          </c:extLst>
        </c:ser>
        <c:dLbls>
          <c:showLegendKey val="0"/>
          <c:showVal val="0"/>
          <c:showCatName val="0"/>
          <c:showSerName val="0"/>
          <c:showPercent val="0"/>
          <c:showBubbleSize val="0"/>
          <c:showLeaderLines val="0"/>
        </c:dLbls>
        <c:firstSliceAng val="270"/>
        <c:holeSize val="74"/>
      </c:doughnutChart>
      <c:scatterChart>
        <c:scatterStyle val="lineMarker"/>
        <c:varyColors val="0"/>
        <c:ser>
          <c:idx val="1"/>
          <c:order val="1"/>
          <c:tx>
            <c:strRef>
              <c:f>'Junio de 2024'!$A$70</c:f>
              <c:strCache>
                <c:ptCount val="1"/>
                <c:pt idx="0">
                  <c:v>Grados2</c:v>
                </c:pt>
              </c:strCache>
            </c:strRef>
          </c:tx>
          <c:spPr>
            <a:ln w="38100" cap="rnd">
              <a:solidFill>
                <a:schemeClr val="accent6">
                  <a:lumMod val="75000"/>
                </a:schemeClr>
              </a:solidFill>
              <a:round/>
            </a:ln>
            <a:effectLst/>
          </c:spPr>
          <c:marker>
            <c:symbol val="circle"/>
            <c:size val="5"/>
            <c:spPr>
              <a:noFill/>
              <a:ln w="9525">
                <a:solidFill>
                  <a:schemeClr val="accent2"/>
                </a:solidFill>
              </a:ln>
              <a:effectLst/>
            </c:spPr>
          </c:marker>
          <c:xVal>
            <c:numRef>
              <c:f>'Junio de 2024'!$B$73:$B$74</c:f>
              <c:numCache>
                <c:formatCode>0.0000</c:formatCode>
                <c:ptCount val="2"/>
                <c:pt idx="0" formatCode="General">
                  <c:v>0</c:v>
                </c:pt>
                <c:pt idx="1">
                  <c:v>0.3355783796051704</c:v>
                </c:pt>
              </c:numCache>
            </c:numRef>
          </c:xVal>
          <c:yVal>
            <c:numRef>
              <c:f>'Junio de 2024'!$C$73:$C$74</c:f>
              <c:numCache>
                <c:formatCode>0.0000</c:formatCode>
                <c:ptCount val="2"/>
                <c:pt idx="0" formatCode="General">
                  <c:v>0</c:v>
                </c:pt>
                <c:pt idx="1">
                  <c:v>0.94201228821155414</c:v>
                </c:pt>
              </c:numCache>
            </c:numRef>
          </c:yVal>
          <c:smooth val="0"/>
          <c:extLst>
            <c:ext xmlns:c16="http://schemas.microsoft.com/office/drawing/2014/chart" uri="{C3380CC4-5D6E-409C-BE32-E72D297353CC}">
              <c16:uniqueId val="{00000007-48AC-488D-B350-59DE1A8E4DAA}"/>
            </c:ext>
          </c:extLst>
        </c:ser>
        <c:dLbls>
          <c:showLegendKey val="0"/>
          <c:showVal val="0"/>
          <c:showCatName val="0"/>
          <c:showSerName val="0"/>
          <c:showPercent val="0"/>
          <c:showBubbleSize val="0"/>
        </c:dLbls>
        <c:axId val="487277240"/>
        <c:axId val="487277632"/>
      </c:scatterChart>
      <c:valAx>
        <c:axId val="487277240"/>
        <c:scaling>
          <c:orientation val="minMax"/>
          <c:max val="1"/>
          <c:min val="-1"/>
        </c:scaling>
        <c:delete val="0"/>
        <c:axPos val="b"/>
        <c:numFmt formatCode="General" sourceLinked="1"/>
        <c:majorTickMark val="none"/>
        <c:minorTickMark val="none"/>
        <c:tickLblPos val="none"/>
        <c:spPr>
          <a:ln w="9525">
            <a:noFill/>
          </a:ln>
        </c:spPr>
        <c:crossAx val="487277632"/>
        <c:crossesAt val="0"/>
        <c:crossBetween val="midCat"/>
      </c:valAx>
      <c:valAx>
        <c:axId val="487277632"/>
        <c:scaling>
          <c:orientation val="minMax"/>
          <c:max val="1"/>
          <c:min val="-1"/>
        </c:scaling>
        <c:delete val="0"/>
        <c:axPos val="l"/>
        <c:numFmt formatCode="General" sourceLinked="1"/>
        <c:majorTickMark val="out"/>
        <c:minorTickMark val="none"/>
        <c:tickLblPos val="none"/>
        <c:spPr>
          <a:ln w="9525">
            <a:noFill/>
          </a:ln>
        </c:spPr>
        <c:crossAx val="487277240"/>
        <c:crossesAt val="0"/>
        <c:crossBetween val="midCat"/>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Ejecución física </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Administación Central</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Enero-Junio de 2024</a:t>
            </a:r>
          </a:p>
        </c:rich>
      </c:tx>
      <c:overlay val="0"/>
      <c:spPr>
        <a:noFill/>
        <a:ln w="25400">
          <a:noFill/>
        </a:ln>
      </c:spPr>
    </c:title>
    <c:autoTitleDeleted val="0"/>
    <c:plotArea>
      <c:layout>
        <c:manualLayout>
          <c:layoutTarget val="inner"/>
          <c:xMode val="edge"/>
          <c:yMode val="edge"/>
          <c:x val="0.2698078289811629"/>
          <c:y val="0.31003645377661132"/>
          <c:w val="0.49449212950257893"/>
          <c:h val="0.64043598716827066"/>
        </c:manualLayout>
      </c:layout>
      <c:doughnutChart>
        <c:varyColors val="1"/>
        <c:ser>
          <c:idx val="0"/>
          <c:order val="0"/>
          <c:tx>
            <c:strRef>
              <c:f>'Junio de 2024'!$B$45</c:f>
              <c:strCache>
                <c:ptCount val="1"/>
                <c:pt idx="0">
                  <c:v>Segmento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AFDE-4377-A95C-0A6D604F7D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AFDE-4377-A95C-0A6D604F7D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AFDE-4377-A95C-0A6D604F7D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AFDE-4377-A95C-0A6D604F7D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AFDE-4377-A95C-0A6D604F7D22}"/>
              </c:ext>
            </c:extLst>
          </c:dPt>
          <c:dPt>
            <c:idx val="5"/>
            <c:bubble3D val="0"/>
            <c:spPr>
              <a:noFill/>
              <a:ln w="19050">
                <a:solidFill>
                  <a:schemeClr val="lt1"/>
                </a:solidFill>
              </a:ln>
              <a:effectLst/>
            </c:spPr>
            <c:extLst>
              <c:ext xmlns:c16="http://schemas.microsoft.com/office/drawing/2014/chart" uri="{C3380CC4-5D6E-409C-BE32-E72D297353CC}">
                <c16:uniqueId val="{00000005-AFDE-4377-A95C-0A6D604F7D22}"/>
              </c:ext>
            </c:extLst>
          </c:dPt>
          <c:dLbls>
            <c:dLbl>
              <c:idx val="0"/>
              <c:layout>
                <c:manualLayout>
                  <c:x val="-8.0577850020758124E-2"/>
                  <c:y val="6.9444444444444448E-2"/>
                </c:manualLayout>
              </c:layout>
              <c:tx>
                <c:rich>
                  <a:bodyPr/>
                  <a:lstStyle/>
                  <a:p>
                    <a:pPr>
                      <a:defRPr sz="900" b="0" i="0" u="none" strike="noStrike" baseline="0">
                        <a:solidFill>
                          <a:srgbClr val="333333"/>
                        </a:solidFill>
                        <a:latin typeface="Calibri"/>
                        <a:ea typeface="Calibri"/>
                        <a:cs typeface="Calibri"/>
                      </a:defRPr>
                    </a:pPr>
                    <a:r>
                      <a:rPr lang="en-US"/>
                      <a:t>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FDE-4377-A95C-0A6D604F7D22}"/>
                </c:ext>
              </c:extLst>
            </c:dLbl>
            <c:dLbl>
              <c:idx val="1"/>
              <c:layout>
                <c:manualLayout>
                  <c:x val="-0.11828277497484396"/>
                  <c:y val="4.6296296296296294E-3"/>
                </c:manualLayout>
              </c:layout>
              <c:tx>
                <c:rich>
                  <a:bodyPr/>
                  <a:lstStyle/>
                  <a:p>
                    <a:pPr>
                      <a:defRPr sz="900" b="0" i="0" u="none" strike="noStrike" baseline="0">
                        <a:solidFill>
                          <a:srgbClr val="333333"/>
                        </a:solidFill>
                        <a:latin typeface="Calibri"/>
                        <a:ea typeface="Calibri"/>
                        <a:cs typeface="Calibri"/>
                      </a:defRPr>
                    </a:pPr>
                    <a:r>
                      <a:rPr lang="en-US"/>
                      <a:t>20%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AFDE-4377-A95C-0A6D604F7D22}"/>
                </c:ext>
              </c:extLst>
            </c:dLbl>
            <c:dLbl>
              <c:idx val="2"/>
              <c:layout>
                <c:manualLayout>
                  <c:x val="-9.050487991950068E-2"/>
                  <c:y val="-6.4814814814814853E-2"/>
                </c:manualLayout>
              </c:layout>
              <c:tx>
                <c:rich>
                  <a:bodyPr/>
                  <a:lstStyle/>
                  <a:p>
                    <a:pPr>
                      <a:defRPr sz="900" b="0" i="0" u="none" strike="noStrike" baseline="0">
                        <a:solidFill>
                          <a:srgbClr val="333333"/>
                        </a:solidFill>
                        <a:latin typeface="Calibri"/>
                        <a:ea typeface="Calibri"/>
                        <a:cs typeface="Calibri"/>
                      </a:defRPr>
                    </a:pPr>
                    <a:r>
                      <a:rPr lang="en-US"/>
                      <a:t>40%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FDE-4377-A95C-0A6D604F7D22}"/>
                </c:ext>
              </c:extLst>
            </c:dLbl>
            <c:dLbl>
              <c:idx val="3"/>
              <c:layout>
                <c:manualLayout>
                  <c:x val="-2.3815977426414257E-2"/>
                  <c:y val="-0.11574074074074074"/>
                </c:manualLayout>
              </c:layout>
              <c:tx>
                <c:rich>
                  <a:bodyPr/>
                  <a:lstStyle/>
                  <a:p>
                    <a:pPr>
                      <a:defRPr sz="900" b="0" i="0" u="none" strike="noStrike" baseline="0">
                        <a:solidFill>
                          <a:srgbClr val="333333"/>
                        </a:solidFill>
                        <a:latin typeface="Calibri"/>
                        <a:ea typeface="Calibri"/>
                        <a:cs typeface="Calibri"/>
                      </a:defRPr>
                    </a:pPr>
                    <a:r>
                      <a:rPr lang="en-US"/>
                      <a:t>60%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AFDE-4377-A95C-0A6D604F7D22}"/>
                </c:ext>
              </c:extLst>
            </c:dLbl>
            <c:dLbl>
              <c:idx val="4"/>
              <c:layout>
                <c:manualLayout>
                  <c:x val="3.1352515251947391E-2"/>
                  <c:y val="-0.1342592592592593"/>
                </c:manualLayout>
              </c:layout>
              <c:tx>
                <c:rich>
                  <a:bodyPr/>
                  <a:lstStyle/>
                  <a:p>
                    <a:pPr>
                      <a:defRPr sz="900" b="0" i="0" u="none" strike="noStrike" baseline="0">
                        <a:solidFill>
                          <a:srgbClr val="333333"/>
                        </a:solidFill>
                        <a:latin typeface="Calibri"/>
                        <a:ea typeface="Calibri"/>
                        <a:cs typeface="Calibri"/>
                      </a:defRPr>
                    </a:pPr>
                    <a:r>
                      <a:rPr lang="en-US"/>
                      <a:t>80%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FDE-4377-A95C-0A6D604F7D22}"/>
                </c:ext>
              </c:extLst>
            </c:dLbl>
            <c:dLbl>
              <c:idx val="5"/>
              <c:layout>
                <c:manualLayout>
                  <c:x val="0.29054963303849751"/>
                  <c:y val="-0.28240740740740738"/>
                </c:manualLayout>
              </c:layout>
              <c:tx>
                <c:rich>
                  <a:bodyPr/>
                  <a:lstStyle/>
                  <a:p>
                    <a:pPr>
                      <a:defRPr sz="900" b="0" i="0" u="none" strike="noStrike" baseline="0">
                        <a:solidFill>
                          <a:srgbClr val="333333"/>
                        </a:solidFill>
                        <a:latin typeface="Calibri"/>
                        <a:ea typeface="Calibri"/>
                        <a:cs typeface="Calibri"/>
                      </a:defRPr>
                    </a:pPr>
                    <a:r>
                      <a:rPr lang="en-US"/>
                      <a:t>100%</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FDE-4377-A95C-0A6D604F7D22}"/>
                </c:ext>
              </c:extLst>
            </c:dLbl>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s-CO"/>
              </a:p>
            </c:txPr>
            <c:showLegendKey val="0"/>
            <c:showVal val="1"/>
            <c:showCatName val="0"/>
            <c:showSerName val="1"/>
            <c:showPercent val="0"/>
            <c:showBubbleSize val="0"/>
            <c:showLeaderLines val="0"/>
            <c:extLst>
              <c:ext xmlns:c15="http://schemas.microsoft.com/office/drawing/2012/chart" uri="{CE6537A1-D6FC-4f65-9D91-7224C49458BB}"/>
            </c:extLst>
          </c:dLbls>
          <c:cat>
            <c:numRef>
              <c:f>'Junio de 2024'!$A$46:$A$51</c:f>
              <c:numCache>
                <c:formatCode>0.00%</c:formatCode>
                <c:ptCount val="6"/>
                <c:pt idx="0">
                  <c:v>0</c:v>
                </c:pt>
                <c:pt idx="1">
                  <c:v>0.2</c:v>
                </c:pt>
                <c:pt idx="2">
                  <c:v>0.4</c:v>
                </c:pt>
                <c:pt idx="3">
                  <c:v>0.6</c:v>
                </c:pt>
                <c:pt idx="4">
                  <c:v>0.8</c:v>
                </c:pt>
                <c:pt idx="5">
                  <c:v>1</c:v>
                </c:pt>
              </c:numCache>
            </c:numRef>
          </c:cat>
          <c:val>
            <c:numRef>
              <c:f>'Junio de 2024'!$B$46:$B$51</c:f>
              <c:numCache>
                <c:formatCode>General</c:formatCode>
                <c:ptCount val="6"/>
                <c:pt idx="0">
                  <c:v>0.2</c:v>
                </c:pt>
                <c:pt idx="1">
                  <c:v>0.2</c:v>
                </c:pt>
                <c:pt idx="2">
                  <c:v>0.2</c:v>
                </c:pt>
                <c:pt idx="3">
                  <c:v>0.2</c:v>
                </c:pt>
                <c:pt idx="4">
                  <c:v>0.2</c:v>
                </c:pt>
                <c:pt idx="5">
                  <c:v>1</c:v>
                </c:pt>
              </c:numCache>
            </c:numRef>
          </c:val>
          <c:extLst>
            <c:ext xmlns:c16="http://schemas.microsoft.com/office/drawing/2014/chart" uri="{C3380CC4-5D6E-409C-BE32-E72D297353CC}">
              <c16:uniqueId val="{00000006-AFDE-4377-A95C-0A6D604F7D22}"/>
            </c:ext>
          </c:extLst>
        </c:ser>
        <c:dLbls>
          <c:showLegendKey val="0"/>
          <c:showVal val="0"/>
          <c:showCatName val="0"/>
          <c:showSerName val="0"/>
          <c:showPercent val="0"/>
          <c:showBubbleSize val="0"/>
          <c:showLeaderLines val="0"/>
        </c:dLbls>
        <c:firstSliceAng val="270"/>
        <c:holeSize val="74"/>
      </c:doughnutChart>
      <c:scatterChart>
        <c:scatterStyle val="lineMarker"/>
        <c:varyColors val="0"/>
        <c:ser>
          <c:idx val="1"/>
          <c:order val="1"/>
          <c:tx>
            <c:strRef>
              <c:f>'Junio de 2024'!$G$58</c:f>
              <c:strCache>
                <c:ptCount val="1"/>
                <c:pt idx="0">
                  <c:v>0.669233264</c:v>
                </c:pt>
              </c:strCache>
            </c:strRef>
          </c:tx>
          <c:spPr>
            <a:ln w="38100" cap="rnd">
              <a:solidFill>
                <a:schemeClr val="accent6">
                  <a:lumMod val="75000"/>
                </a:schemeClr>
              </a:solidFill>
              <a:round/>
            </a:ln>
            <a:effectLst/>
          </c:spPr>
          <c:marker>
            <c:symbol val="circle"/>
            <c:size val="5"/>
            <c:spPr>
              <a:noFill/>
              <a:ln w="9525">
                <a:solidFill>
                  <a:schemeClr val="accent2"/>
                </a:solidFill>
              </a:ln>
              <a:effectLst/>
            </c:spPr>
          </c:marker>
          <c:xVal>
            <c:numRef>
              <c:f>'Junio de 2024'!$G$61:$G$62</c:f>
              <c:numCache>
                <c:formatCode>0.0000</c:formatCode>
                <c:ptCount val="2"/>
                <c:pt idx="0" formatCode="General">
                  <c:v>0</c:v>
                </c:pt>
                <c:pt idx="1">
                  <c:v>-0.78429756759639346</c:v>
                </c:pt>
              </c:numCache>
            </c:numRef>
          </c:xVal>
          <c:yVal>
            <c:numRef>
              <c:f>'Junio de 2024'!$H$61:$H$62</c:f>
              <c:numCache>
                <c:formatCode>0.0000</c:formatCode>
                <c:ptCount val="2"/>
                <c:pt idx="0" formatCode="General">
                  <c:v>0</c:v>
                </c:pt>
                <c:pt idx="1">
                  <c:v>0.62038482046418619</c:v>
                </c:pt>
              </c:numCache>
            </c:numRef>
          </c:yVal>
          <c:smooth val="0"/>
          <c:extLst>
            <c:ext xmlns:c16="http://schemas.microsoft.com/office/drawing/2014/chart" uri="{C3380CC4-5D6E-409C-BE32-E72D297353CC}">
              <c16:uniqueId val="{00000007-AFDE-4377-A95C-0A6D604F7D22}"/>
            </c:ext>
          </c:extLst>
        </c:ser>
        <c:dLbls>
          <c:showLegendKey val="0"/>
          <c:showVal val="0"/>
          <c:showCatName val="0"/>
          <c:showSerName val="0"/>
          <c:showPercent val="0"/>
          <c:showBubbleSize val="0"/>
        </c:dLbls>
        <c:axId val="487275672"/>
        <c:axId val="487276848"/>
      </c:scatterChart>
      <c:valAx>
        <c:axId val="487275672"/>
        <c:scaling>
          <c:orientation val="minMax"/>
          <c:max val="1"/>
          <c:min val="-1"/>
        </c:scaling>
        <c:delete val="0"/>
        <c:axPos val="b"/>
        <c:numFmt formatCode="General" sourceLinked="1"/>
        <c:majorTickMark val="none"/>
        <c:minorTickMark val="none"/>
        <c:tickLblPos val="none"/>
        <c:spPr>
          <a:ln w="9525">
            <a:noFill/>
          </a:ln>
        </c:spPr>
        <c:crossAx val="487276848"/>
        <c:crossesAt val="0"/>
        <c:crossBetween val="midCat"/>
      </c:valAx>
      <c:valAx>
        <c:axId val="487276848"/>
        <c:scaling>
          <c:orientation val="minMax"/>
          <c:max val="1"/>
          <c:min val="-1"/>
        </c:scaling>
        <c:delete val="0"/>
        <c:axPos val="l"/>
        <c:numFmt formatCode="General" sourceLinked="1"/>
        <c:majorTickMark val="out"/>
        <c:minorTickMark val="none"/>
        <c:tickLblPos val="none"/>
        <c:spPr>
          <a:ln w="9525">
            <a:noFill/>
          </a:ln>
        </c:spPr>
        <c:crossAx val="487275672"/>
        <c:crossesAt val="0"/>
        <c:crossBetween val="midCat"/>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 Ejecución física de los proyectos, por organismo</a:t>
            </a:r>
          </a:p>
          <a:p>
            <a:pPr>
              <a:defRPr sz="1000" b="0" i="0" u="none" strike="noStrike" baseline="0">
                <a:solidFill>
                  <a:srgbClr val="000000"/>
                </a:solidFill>
                <a:latin typeface="Calibri"/>
                <a:ea typeface="Calibri"/>
                <a:cs typeface="Calibri"/>
              </a:defRPr>
            </a:pPr>
            <a:r>
              <a:rPr lang="es-CO" sz="1200" b="0" i="0" u="none" strike="noStrike" baseline="0">
                <a:solidFill>
                  <a:srgbClr val="333333"/>
                </a:solidFill>
                <a:latin typeface="Arial Narrow"/>
              </a:rPr>
              <a:t>Enero-Junio de 2024</a:t>
            </a:r>
          </a:p>
        </c:rich>
      </c:tx>
      <c:layout>
        <c:manualLayout>
          <c:xMode val="edge"/>
          <c:yMode val="edge"/>
          <c:x val="0.16144237877637696"/>
          <c:y val="2.7778166865101202E-2"/>
        </c:manualLayout>
      </c:layout>
      <c:overlay val="0"/>
      <c:spPr>
        <a:noFill/>
        <a:ln w="25400">
          <a:noFill/>
        </a:ln>
      </c:spPr>
    </c:title>
    <c:autoTitleDeleted val="0"/>
    <c:plotArea>
      <c:layout/>
      <c:barChart>
        <c:barDir val="bar"/>
        <c:grouping val="clustered"/>
        <c:varyColors val="0"/>
        <c:ser>
          <c:idx val="0"/>
          <c:order val="0"/>
          <c:spPr>
            <a:solidFill>
              <a:srgbClr val="4F81BD"/>
            </a:solidFill>
            <a:ln w="25400">
              <a:noFill/>
            </a:ln>
          </c:spPr>
          <c:invertIfNegative val="0"/>
          <c:dLbls>
            <c:spPr>
              <a:noFill/>
              <a:ln w="25400">
                <a:noFill/>
              </a:ln>
            </c:spPr>
            <c:txPr>
              <a:bodyPr wrap="square" lIns="38100" tIns="19050" rIns="38100" bIns="19050" anchor="ctr">
                <a:spAutoFit/>
              </a:bodyPr>
              <a:lstStyle/>
              <a:p>
                <a:pPr>
                  <a:defRPr sz="700" b="0" i="0" u="none" strike="noStrike" baseline="0">
                    <a:solidFill>
                      <a:srgbClr val="333333"/>
                    </a:solidFill>
                    <a:latin typeface="Arial Narrow"/>
                    <a:ea typeface="Arial Narrow"/>
                    <a:cs typeface="Arial Narrow"/>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'Junio de 2024'!$B$10:$B$36</c:f>
              <c:strCache>
                <c:ptCount val="27"/>
                <c:pt idx="0">
                  <c:v>Secretaría de Gobierno</c:v>
                </c:pt>
                <c:pt idx="1">
                  <c:v>Departamento Administrativo de Gestión Jurídica Pública</c:v>
                </c:pt>
                <c:pt idx="2">
                  <c:v>Departamento Administrativo de Control Interno</c:v>
                </c:pt>
                <c:pt idx="3">
                  <c:v>Departamento Admtivo. de Control Disciplinario Interno</c:v>
                </c:pt>
                <c:pt idx="4">
                  <c:v>Departamento Administrativo  de Hacienda</c:v>
                </c:pt>
                <c:pt idx="5">
                  <c:v>Departamento Administrativo de Planeacion</c:v>
                </c:pt>
                <c:pt idx="6">
                  <c:v>Departamento Admtivo. Gestion Medio Ambiente</c:v>
                </c:pt>
                <c:pt idx="7">
                  <c:v>Departamento Administrativo de TIC</c:v>
                </c:pt>
                <c:pt idx="8">
                  <c:v>Departamento Administrativo de Contratación Pública</c:v>
                </c:pt>
                <c:pt idx="9">
                  <c:v>Departamento Administrativo de Dllo. e Innovación I</c:v>
                </c:pt>
                <c:pt idx="10">
                  <c:v>Secretaria de Educacion</c:v>
                </c:pt>
                <c:pt idx="11">
                  <c:v>Secretaria de Salud Publica</c:v>
                </c:pt>
                <c:pt idx="12">
                  <c:v>Secretaria Bienestar Social</c:v>
                </c:pt>
                <c:pt idx="13">
                  <c:v>Secretaria de Vivienda Social y Hábitat</c:v>
                </c:pt>
                <c:pt idx="14">
                  <c:v>Secretaria de Cultura</c:v>
                </c:pt>
                <c:pt idx="15">
                  <c:v>Secretaria de Infraestructura</c:v>
                </c:pt>
                <c:pt idx="16">
                  <c:v>Secretaria de Movilidad</c:v>
                </c:pt>
                <c:pt idx="17">
                  <c:v>Secretaria de Seguridad y Justicia</c:v>
                </c:pt>
                <c:pt idx="18">
                  <c:v>Secretaria de Deporte y Recreacion</c:v>
                </c:pt>
                <c:pt idx="19">
                  <c:v>Secretaría de Gestión del Riesgo</c:v>
                </c:pt>
                <c:pt idx="20">
                  <c:v>Secretaría de Paz y Cultura Ciudadana</c:v>
                </c:pt>
                <c:pt idx="21">
                  <c:v>Secretaría de Desarrollo Económico</c:v>
                </c:pt>
                <c:pt idx="22">
                  <c:v>Secretaría de Turismo</c:v>
                </c:pt>
                <c:pt idx="23">
                  <c:v>Secretaría de Dllo. Territorial y Participación Ciudadana</c:v>
                </c:pt>
                <c:pt idx="24">
                  <c:v>Unidad Admtiva Esp. de Gestión de Bienes y Servicios</c:v>
                </c:pt>
                <c:pt idx="25">
                  <c:v>Unidad Administrativa Especial de Servicios Públicos</c:v>
                </c:pt>
                <c:pt idx="26">
                  <c:v>Unidad Administrativa Especial de Protección Animal</c:v>
                </c:pt>
              </c:strCache>
            </c:strRef>
          </c:cat>
          <c:val>
            <c:numRef>
              <c:f>'Junio de 2024'!$E$10:$E$35</c:f>
              <c:numCache>
                <c:formatCode>0.0%</c:formatCode>
                <c:ptCount val="26"/>
                <c:pt idx="0">
                  <c:v>0.2284285714285714</c:v>
                </c:pt>
                <c:pt idx="1">
                  <c:v>0.20630000000000001</c:v>
                </c:pt>
                <c:pt idx="2">
                  <c:v>0.23</c:v>
                </c:pt>
                <c:pt idx="3">
                  <c:v>0.44163333333333332</c:v>
                </c:pt>
                <c:pt idx="4">
                  <c:v>0.36658749999999996</c:v>
                </c:pt>
                <c:pt idx="5">
                  <c:v>0.23358999999999996</c:v>
                </c:pt>
                <c:pt idx="6">
                  <c:v>0.28545641778044795</c:v>
                </c:pt>
                <c:pt idx="7">
                  <c:v>0.32720000000000005</c:v>
                </c:pt>
                <c:pt idx="8">
                  <c:v>0</c:v>
                </c:pt>
                <c:pt idx="9">
                  <c:v>0.19953846153846155</c:v>
                </c:pt>
                <c:pt idx="10">
                  <c:v>7.2562500000000002E-2</c:v>
                </c:pt>
                <c:pt idx="11">
                  <c:v>0.26254177158505576</c:v>
                </c:pt>
                <c:pt idx="12">
                  <c:v>0.17881355932203385</c:v>
                </c:pt>
                <c:pt idx="13">
                  <c:v>0.39633472257843044</c:v>
                </c:pt>
                <c:pt idx="14">
                  <c:v>0.12598809523809523</c:v>
                </c:pt>
                <c:pt idx="15">
                  <c:v>3.0657993820993823E-2</c:v>
                </c:pt>
                <c:pt idx="16">
                  <c:v>0.36000000000000004</c:v>
                </c:pt>
                <c:pt idx="17">
                  <c:v>0.30711674881773882</c:v>
                </c:pt>
                <c:pt idx="18">
                  <c:v>7.176727395411607E-2</c:v>
                </c:pt>
                <c:pt idx="19">
                  <c:v>0.29016666666666668</c:v>
                </c:pt>
                <c:pt idx="20">
                  <c:v>0.46328047993547078</c:v>
                </c:pt>
                <c:pt idx="21">
                  <c:v>8.8071428571428551E-2</c:v>
                </c:pt>
                <c:pt idx="22">
                  <c:v>9.7585714285714276E-2</c:v>
                </c:pt>
                <c:pt idx="23">
                  <c:v>0.46687007870596375</c:v>
                </c:pt>
                <c:pt idx="24">
                  <c:v>0</c:v>
                </c:pt>
                <c:pt idx="25">
                  <c:v>0.27641111111111116</c:v>
                </c:pt>
              </c:numCache>
            </c:numRef>
          </c:val>
          <c:extLst>
            <c:ext xmlns:c16="http://schemas.microsoft.com/office/drawing/2014/chart" uri="{C3380CC4-5D6E-409C-BE32-E72D297353CC}">
              <c16:uniqueId val="{00000000-7841-4534-AA9C-461E524271EF}"/>
            </c:ext>
          </c:extLst>
        </c:ser>
        <c:dLbls>
          <c:showLegendKey val="0"/>
          <c:showVal val="0"/>
          <c:showCatName val="0"/>
          <c:showSerName val="0"/>
          <c:showPercent val="0"/>
          <c:showBubbleSize val="0"/>
        </c:dLbls>
        <c:gapWidth val="182"/>
        <c:axId val="965482552"/>
        <c:axId val="965471968"/>
      </c:barChart>
      <c:catAx>
        <c:axId val="965482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600" b="0" i="0" u="none" strike="noStrike" baseline="0">
                <a:solidFill>
                  <a:srgbClr val="333333"/>
                </a:solidFill>
                <a:latin typeface="Arial Narrow"/>
                <a:ea typeface="Arial Narrow"/>
                <a:cs typeface="Arial Narrow"/>
              </a:defRPr>
            </a:pPr>
            <a:endParaRPr lang="es-CO"/>
          </a:p>
        </c:txPr>
        <c:crossAx val="965471968"/>
        <c:crosses val="autoZero"/>
        <c:auto val="1"/>
        <c:lblAlgn val="ctr"/>
        <c:lblOffset val="100"/>
        <c:tickLblSkip val="1"/>
        <c:noMultiLvlLbl val="0"/>
      </c:catAx>
      <c:valAx>
        <c:axId val="96547196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9525">
            <a:noFill/>
          </a:ln>
        </c:spPr>
        <c:txPr>
          <a:bodyPr rot="0" vert="horz"/>
          <a:lstStyle/>
          <a:p>
            <a:pPr>
              <a:defRPr sz="800" b="0" i="0" u="none" strike="noStrike" baseline="0">
                <a:solidFill>
                  <a:srgbClr val="333333"/>
                </a:solidFill>
                <a:latin typeface="Arial Narrow"/>
                <a:ea typeface="Arial Narrow"/>
                <a:cs typeface="Arial Narrow"/>
              </a:defRPr>
            </a:pPr>
            <a:endParaRPr lang="es-CO"/>
          </a:p>
        </c:txPr>
        <c:crossAx val="965482552"/>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O" sz="1400" b="1" i="0" u="none" strike="noStrike" baseline="0">
                <a:solidFill>
                  <a:srgbClr val="000000"/>
                </a:solidFill>
                <a:latin typeface="Calibri"/>
                <a:cs typeface="Calibri"/>
              </a:rPr>
              <a:t>Ejecución física y ejecución presupuestal de los proyectos</a:t>
            </a:r>
          </a:p>
          <a:p>
            <a:pPr>
              <a:defRPr sz="1000" b="0" i="0" u="none" strike="noStrike" baseline="0">
                <a:solidFill>
                  <a:srgbClr val="000000"/>
                </a:solidFill>
                <a:latin typeface="Calibri"/>
                <a:ea typeface="Calibri"/>
                <a:cs typeface="Calibri"/>
              </a:defRPr>
            </a:pPr>
            <a:r>
              <a:rPr lang="es-CO" sz="1400" b="1" i="0" u="none" strike="noStrike" baseline="0">
                <a:solidFill>
                  <a:srgbClr val="000000"/>
                </a:solidFill>
                <a:latin typeface="Calibri"/>
                <a:cs typeface="Calibri"/>
              </a:rPr>
              <a:t>Enero - Junio de 2024</a:t>
            </a:r>
          </a:p>
        </c:rich>
      </c:tx>
      <c:overlay val="0"/>
    </c:title>
    <c:autoTitleDeleted val="0"/>
    <c:plotArea>
      <c:layout>
        <c:manualLayout>
          <c:layoutTarget val="inner"/>
          <c:xMode val="edge"/>
          <c:yMode val="edge"/>
          <c:x val="8.7583987381221931E-2"/>
          <c:y val="0.14167571114421509"/>
          <c:w val="0.88475883971692548"/>
          <c:h val="0.4724859899269348"/>
        </c:manualLayout>
      </c:layout>
      <c:barChart>
        <c:barDir val="col"/>
        <c:grouping val="clustered"/>
        <c:varyColors val="0"/>
        <c:ser>
          <c:idx val="0"/>
          <c:order val="0"/>
          <c:tx>
            <c:v>Ejecución física</c:v>
          </c:tx>
          <c:invertIfNegative val="0"/>
          <c:cat>
            <c:strRef>
              <c:f>'Junio de 2024'!$B$10:$B$36</c:f>
              <c:strCache>
                <c:ptCount val="27"/>
                <c:pt idx="0">
                  <c:v>Secretaría de Gobierno</c:v>
                </c:pt>
                <c:pt idx="1">
                  <c:v>Departamento Administrativo de Gestión Jurídica Pública</c:v>
                </c:pt>
                <c:pt idx="2">
                  <c:v>Departamento Administrativo de Control Interno</c:v>
                </c:pt>
                <c:pt idx="3">
                  <c:v>Departamento Admtivo. de Control Disciplinario Interno</c:v>
                </c:pt>
                <c:pt idx="4">
                  <c:v>Departamento Administrativo  de Hacienda</c:v>
                </c:pt>
                <c:pt idx="5">
                  <c:v>Departamento Administrativo de Planeacion</c:v>
                </c:pt>
                <c:pt idx="6">
                  <c:v>Departamento Admtivo. Gestion Medio Ambiente</c:v>
                </c:pt>
                <c:pt idx="7">
                  <c:v>Departamento Administrativo de TIC</c:v>
                </c:pt>
                <c:pt idx="8">
                  <c:v>Departamento Administrativo de Contratación Pública</c:v>
                </c:pt>
                <c:pt idx="9">
                  <c:v>Departamento Administrativo de Dllo. e Innovación I</c:v>
                </c:pt>
                <c:pt idx="10">
                  <c:v>Secretaria de Educacion</c:v>
                </c:pt>
                <c:pt idx="11">
                  <c:v>Secretaria de Salud Publica</c:v>
                </c:pt>
                <c:pt idx="12">
                  <c:v>Secretaria Bienestar Social</c:v>
                </c:pt>
                <c:pt idx="13">
                  <c:v>Secretaria de Vivienda Social y Hábitat</c:v>
                </c:pt>
                <c:pt idx="14">
                  <c:v>Secretaria de Cultura</c:v>
                </c:pt>
                <c:pt idx="15">
                  <c:v>Secretaria de Infraestructura</c:v>
                </c:pt>
                <c:pt idx="16">
                  <c:v>Secretaria de Movilidad</c:v>
                </c:pt>
                <c:pt idx="17">
                  <c:v>Secretaria de Seguridad y Justicia</c:v>
                </c:pt>
                <c:pt idx="18">
                  <c:v>Secretaria de Deporte y Recreacion</c:v>
                </c:pt>
                <c:pt idx="19">
                  <c:v>Secretaría de Gestión del Riesgo</c:v>
                </c:pt>
                <c:pt idx="20">
                  <c:v>Secretaría de Paz y Cultura Ciudadana</c:v>
                </c:pt>
                <c:pt idx="21">
                  <c:v>Secretaría de Desarrollo Económico</c:v>
                </c:pt>
                <c:pt idx="22">
                  <c:v>Secretaría de Turismo</c:v>
                </c:pt>
                <c:pt idx="23">
                  <c:v>Secretaría de Dllo. Territorial y Participación Ciudadana</c:v>
                </c:pt>
                <c:pt idx="24">
                  <c:v>Unidad Admtiva Esp. de Gestión de Bienes y Servicios</c:v>
                </c:pt>
                <c:pt idx="25">
                  <c:v>Unidad Administrativa Especial de Servicios Públicos</c:v>
                </c:pt>
                <c:pt idx="26">
                  <c:v>Unidad Administrativa Especial de Protección Animal</c:v>
                </c:pt>
              </c:strCache>
            </c:strRef>
          </c:cat>
          <c:val>
            <c:numRef>
              <c:f>'Junio de 2024'!$E$10:$E$35</c:f>
              <c:numCache>
                <c:formatCode>0.0%</c:formatCode>
                <c:ptCount val="26"/>
                <c:pt idx="0">
                  <c:v>0.2284285714285714</c:v>
                </c:pt>
                <c:pt idx="1">
                  <c:v>0.20630000000000001</c:v>
                </c:pt>
                <c:pt idx="2">
                  <c:v>0.23</c:v>
                </c:pt>
                <c:pt idx="3">
                  <c:v>0.44163333333333332</c:v>
                </c:pt>
                <c:pt idx="4">
                  <c:v>0.36658749999999996</c:v>
                </c:pt>
                <c:pt idx="5">
                  <c:v>0.23358999999999996</c:v>
                </c:pt>
                <c:pt idx="6">
                  <c:v>0.28545641778044795</c:v>
                </c:pt>
                <c:pt idx="7">
                  <c:v>0.32720000000000005</c:v>
                </c:pt>
                <c:pt idx="8">
                  <c:v>0</c:v>
                </c:pt>
                <c:pt idx="9">
                  <c:v>0.19953846153846155</c:v>
                </c:pt>
                <c:pt idx="10">
                  <c:v>7.2562500000000002E-2</c:v>
                </c:pt>
                <c:pt idx="11">
                  <c:v>0.26254177158505576</c:v>
                </c:pt>
                <c:pt idx="12">
                  <c:v>0.17881355932203385</c:v>
                </c:pt>
                <c:pt idx="13">
                  <c:v>0.39633472257843044</c:v>
                </c:pt>
                <c:pt idx="14">
                  <c:v>0.12598809523809523</c:v>
                </c:pt>
                <c:pt idx="15">
                  <c:v>3.0657993820993823E-2</c:v>
                </c:pt>
                <c:pt idx="16">
                  <c:v>0.36000000000000004</c:v>
                </c:pt>
                <c:pt idx="17">
                  <c:v>0.30711674881773882</c:v>
                </c:pt>
                <c:pt idx="18">
                  <c:v>7.176727395411607E-2</c:v>
                </c:pt>
                <c:pt idx="19">
                  <c:v>0.29016666666666668</c:v>
                </c:pt>
                <c:pt idx="20">
                  <c:v>0.46328047993547078</c:v>
                </c:pt>
                <c:pt idx="21">
                  <c:v>8.8071428571428551E-2</c:v>
                </c:pt>
                <c:pt idx="22">
                  <c:v>9.7585714285714276E-2</c:v>
                </c:pt>
                <c:pt idx="23">
                  <c:v>0.46687007870596375</c:v>
                </c:pt>
                <c:pt idx="24">
                  <c:v>0</c:v>
                </c:pt>
                <c:pt idx="25">
                  <c:v>0.27641111111111116</c:v>
                </c:pt>
              </c:numCache>
            </c:numRef>
          </c:val>
          <c:extLst>
            <c:ext xmlns:c16="http://schemas.microsoft.com/office/drawing/2014/chart" uri="{C3380CC4-5D6E-409C-BE32-E72D297353CC}">
              <c16:uniqueId val="{00000000-414C-4B71-BE22-D351D8206078}"/>
            </c:ext>
          </c:extLst>
        </c:ser>
        <c:ser>
          <c:idx val="1"/>
          <c:order val="1"/>
          <c:tx>
            <c:v>Ejecución presupuestal</c:v>
          </c:tx>
          <c:invertIfNegative val="0"/>
          <c:cat>
            <c:strRef>
              <c:f>'Junio de 2024'!$B$10:$B$36</c:f>
              <c:strCache>
                <c:ptCount val="27"/>
                <c:pt idx="0">
                  <c:v>Secretaría de Gobierno</c:v>
                </c:pt>
                <c:pt idx="1">
                  <c:v>Departamento Administrativo de Gestión Jurídica Pública</c:v>
                </c:pt>
                <c:pt idx="2">
                  <c:v>Departamento Administrativo de Control Interno</c:v>
                </c:pt>
                <c:pt idx="3">
                  <c:v>Departamento Admtivo. de Control Disciplinario Interno</c:v>
                </c:pt>
                <c:pt idx="4">
                  <c:v>Departamento Administrativo  de Hacienda</c:v>
                </c:pt>
                <c:pt idx="5">
                  <c:v>Departamento Administrativo de Planeacion</c:v>
                </c:pt>
                <c:pt idx="6">
                  <c:v>Departamento Admtivo. Gestion Medio Ambiente</c:v>
                </c:pt>
                <c:pt idx="7">
                  <c:v>Departamento Administrativo de TIC</c:v>
                </c:pt>
                <c:pt idx="8">
                  <c:v>Departamento Administrativo de Contratación Pública</c:v>
                </c:pt>
                <c:pt idx="9">
                  <c:v>Departamento Administrativo de Dllo. e Innovación I</c:v>
                </c:pt>
                <c:pt idx="10">
                  <c:v>Secretaria de Educacion</c:v>
                </c:pt>
                <c:pt idx="11">
                  <c:v>Secretaria de Salud Publica</c:v>
                </c:pt>
                <c:pt idx="12">
                  <c:v>Secretaria Bienestar Social</c:v>
                </c:pt>
                <c:pt idx="13">
                  <c:v>Secretaria de Vivienda Social y Hábitat</c:v>
                </c:pt>
                <c:pt idx="14">
                  <c:v>Secretaria de Cultura</c:v>
                </c:pt>
                <c:pt idx="15">
                  <c:v>Secretaria de Infraestructura</c:v>
                </c:pt>
                <c:pt idx="16">
                  <c:v>Secretaria de Movilidad</c:v>
                </c:pt>
                <c:pt idx="17">
                  <c:v>Secretaria de Seguridad y Justicia</c:v>
                </c:pt>
                <c:pt idx="18">
                  <c:v>Secretaria de Deporte y Recreacion</c:v>
                </c:pt>
                <c:pt idx="19">
                  <c:v>Secretaría de Gestión del Riesgo</c:v>
                </c:pt>
                <c:pt idx="20">
                  <c:v>Secretaría de Paz y Cultura Ciudadana</c:v>
                </c:pt>
                <c:pt idx="21">
                  <c:v>Secretaría de Desarrollo Económico</c:v>
                </c:pt>
                <c:pt idx="22">
                  <c:v>Secretaría de Turismo</c:v>
                </c:pt>
                <c:pt idx="23">
                  <c:v>Secretaría de Dllo. Territorial y Participación Ciudadana</c:v>
                </c:pt>
                <c:pt idx="24">
                  <c:v>Unidad Admtiva Esp. de Gestión de Bienes y Servicios</c:v>
                </c:pt>
                <c:pt idx="25">
                  <c:v>Unidad Administrativa Especial de Servicios Públicos</c:v>
                </c:pt>
                <c:pt idx="26">
                  <c:v>Unidad Administrativa Especial de Protección Animal</c:v>
                </c:pt>
              </c:strCache>
            </c:strRef>
          </c:cat>
          <c:val>
            <c:numRef>
              <c:f>'Junio de 2024'!$J$10:$J$36</c:f>
              <c:numCache>
                <c:formatCode>0.0%</c:formatCode>
                <c:ptCount val="27"/>
                <c:pt idx="0">
                  <c:v>0.62181550476288816</c:v>
                </c:pt>
                <c:pt idx="1">
                  <c:v>0.56591453128611902</c:v>
                </c:pt>
                <c:pt idx="2">
                  <c:v>0.65984229999999999</c:v>
                </c:pt>
                <c:pt idx="3">
                  <c:v>0.60557433999999999</c:v>
                </c:pt>
                <c:pt idx="4">
                  <c:v>0.65980320808664572</c:v>
                </c:pt>
                <c:pt idx="5">
                  <c:v>0.54428177421132384</c:v>
                </c:pt>
                <c:pt idx="6">
                  <c:v>0.35537782498537068</c:v>
                </c:pt>
                <c:pt idx="7">
                  <c:v>0.54729201249547099</c:v>
                </c:pt>
                <c:pt idx="8">
                  <c:v>0.35</c:v>
                </c:pt>
                <c:pt idx="9">
                  <c:v>0.2895485870170022</c:v>
                </c:pt>
                <c:pt idx="10">
                  <c:v>0.59531470610163828</c:v>
                </c:pt>
                <c:pt idx="11">
                  <c:v>0.30904221006981591</c:v>
                </c:pt>
                <c:pt idx="12">
                  <c:v>0.4736018186480162</c:v>
                </c:pt>
                <c:pt idx="13">
                  <c:v>0.54605104776373115</c:v>
                </c:pt>
                <c:pt idx="14">
                  <c:v>0.59612593876403119</c:v>
                </c:pt>
                <c:pt idx="15">
                  <c:v>0.33106047823411544</c:v>
                </c:pt>
                <c:pt idx="16">
                  <c:v>0.59379421922792153</c:v>
                </c:pt>
                <c:pt idx="17">
                  <c:v>0.2612084513465418</c:v>
                </c:pt>
                <c:pt idx="18">
                  <c:v>0.4627739821103769</c:v>
                </c:pt>
                <c:pt idx="19">
                  <c:v>0.73362455051279107</c:v>
                </c:pt>
                <c:pt idx="20">
                  <c:v>0.52548578722426142</c:v>
                </c:pt>
                <c:pt idx="21">
                  <c:v>0.47522534579963005</c:v>
                </c:pt>
                <c:pt idx="22">
                  <c:v>0.26205038846665485</c:v>
                </c:pt>
                <c:pt idx="23">
                  <c:v>0.67614103304983231</c:v>
                </c:pt>
                <c:pt idx="24">
                  <c:v>0.22766467977117197</c:v>
                </c:pt>
                <c:pt idx="25">
                  <c:v>0.51322491944381732</c:v>
                </c:pt>
                <c:pt idx="26">
                  <c:v>0.38546637052089444</c:v>
                </c:pt>
              </c:numCache>
            </c:numRef>
          </c:val>
          <c:extLst>
            <c:ext xmlns:c16="http://schemas.microsoft.com/office/drawing/2014/chart" uri="{C3380CC4-5D6E-409C-BE32-E72D297353CC}">
              <c16:uniqueId val="{00000001-414C-4B71-BE22-D351D8206078}"/>
            </c:ext>
          </c:extLst>
        </c:ser>
        <c:dLbls>
          <c:showLegendKey val="0"/>
          <c:showVal val="0"/>
          <c:showCatName val="0"/>
          <c:showSerName val="0"/>
          <c:showPercent val="0"/>
          <c:showBubbleSize val="0"/>
        </c:dLbls>
        <c:gapWidth val="150"/>
        <c:axId val="965473536"/>
        <c:axId val="965476672"/>
      </c:barChart>
      <c:catAx>
        <c:axId val="965473536"/>
        <c:scaling>
          <c:orientation val="minMax"/>
        </c:scaling>
        <c:delete val="0"/>
        <c:axPos val="b"/>
        <c:numFmt formatCode="General" sourceLinked="1"/>
        <c:majorTickMark val="none"/>
        <c:minorTickMark val="none"/>
        <c:tickLblPos val="nextTo"/>
        <c:txPr>
          <a:bodyPr rot="-2700000" vert="horz"/>
          <a:lstStyle/>
          <a:p>
            <a:pPr>
              <a:defRPr sz="700" b="0" i="0" u="none" strike="noStrike" baseline="0">
                <a:solidFill>
                  <a:srgbClr val="000000"/>
                </a:solidFill>
                <a:latin typeface="Calibri"/>
                <a:ea typeface="Calibri"/>
                <a:cs typeface="Calibri"/>
              </a:defRPr>
            </a:pPr>
            <a:endParaRPr lang="es-CO"/>
          </a:p>
        </c:txPr>
        <c:crossAx val="965476672"/>
        <c:crosses val="autoZero"/>
        <c:auto val="1"/>
        <c:lblAlgn val="ctr"/>
        <c:lblOffset val="100"/>
        <c:noMultiLvlLbl val="0"/>
      </c:catAx>
      <c:valAx>
        <c:axId val="965476672"/>
        <c:scaling>
          <c:orientation val="minMax"/>
        </c:scaling>
        <c:delete val="0"/>
        <c:axPos val="l"/>
        <c:majorGridlines/>
        <c:numFmt formatCode="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965473536"/>
        <c:crosses val="autoZero"/>
        <c:crossBetween val="between"/>
      </c:valAx>
    </c:plotArea>
    <c:legend>
      <c:legendPos val="r"/>
      <c:layout>
        <c:manualLayout>
          <c:xMode val="edge"/>
          <c:yMode val="edge"/>
          <c:x val="0.74365758353239553"/>
          <c:y val="7.0920408597573953E-2"/>
          <c:w val="0.25634241646760447"/>
          <c:h val="5.6653824367505955E-2"/>
        </c:manualLayout>
      </c:layout>
      <c:overlay val="0"/>
      <c:txPr>
        <a:bodyPr/>
        <a:lstStyle/>
        <a:p>
          <a:pPr>
            <a:defRPr sz="920" b="0" i="0" u="none" strike="noStrike" baseline="0">
              <a:solidFill>
                <a:srgbClr val="000000"/>
              </a:solidFill>
              <a:latin typeface="Calibri"/>
              <a:ea typeface="Calibri"/>
              <a:cs typeface="Calibri"/>
            </a:defRPr>
          </a:pPr>
          <a:endParaRPr lang="es-CO"/>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40005</xdr:colOff>
      <xdr:row>42</xdr:row>
      <xdr:rowOff>13335</xdr:rowOff>
    </xdr:from>
    <xdr:to>
      <xdr:col>4</xdr:col>
      <xdr:colOff>192405</xdr:colOff>
      <xdr:row>59</xdr:row>
      <xdr:rowOff>152400</xdr:rowOff>
    </xdr:to>
    <xdr:graphicFrame macro="">
      <xdr:nvGraphicFramePr>
        <xdr:cNvPr id="16274976" name="Gráfico 1">
          <a:extLst>
            <a:ext uri="{FF2B5EF4-FFF2-40B4-BE49-F238E27FC236}">
              <a16:creationId xmlns:a16="http://schemas.microsoft.com/office/drawing/2014/main" id="{00000000-0008-0000-0000-00002056F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60</xdr:row>
      <xdr:rowOff>9525</xdr:rowOff>
    </xdr:from>
    <xdr:to>
      <xdr:col>4</xdr:col>
      <xdr:colOff>152400</xdr:colOff>
      <xdr:row>77</xdr:row>
      <xdr:rowOff>95250</xdr:rowOff>
    </xdr:to>
    <xdr:graphicFrame macro="">
      <xdr:nvGraphicFramePr>
        <xdr:cNvPr id="16274977" name="Gráfico 2">
          <a:extLst>
            <a:ext uri="{FF2B5EF4-FFF2-40B4-BE49-F238E27FC236}">
              <a16:creationId xmlns:a16="http://schemas.microsoft.com/office/drawing/2014/main" id="{00000000-0008-0000-0000-00002156F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60</xdr:row>
      <xdr:rowOff>0</xdr:rowOff>
    </xdr:from>
    <xdr:to>
      <xdr:col>9</xdr:col>
      <xdr:colOff>361950</xdr:colOff>
      <xdr:row>78</xdr:row>
      <xdr:rowOff>0</xdr:rowOff>
    </xdr:to>
    <xdr:graphicFrame macro="">
      <xdr:nvGraphicFramePr>
        <xdr:cNvPr id="16274978" name="Gráfico 3">
          <a:extLst>
            <a:ext uri="{FF2B5EF4-FFF2-40B4-BE49-F238E27FC236}">
              <a16:creationId xmlns:a16="http://schemas.microsoft.com/office/drawing/2014/main" id="{00000000-0008-0000-0000-00002256F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42</xdr:row>
      <xdr:rowOff>19050</xdr:rowOff>
    </xdr:from>
    <xdr:to>
      <xdr:col>9</xdr:col>
      <xdr:colOff>352425</xdr:colOff>
      <xdr:row>60</xdr:row>
      <xdr:rowOff>0</xdr:rowOff>
    </xdr:to>
    <xdr:graphicFrame macro="">
      <xdr:nvGraphicFramePr>
        <xdr:cNvPr id="16274979" name="Gráfico 1">
          <a:extLst>
            <a:ext uri="{FF2B5EF4-FFF2-40B4-BE49-F238E27FC236}">
              <a16:creationId xmlns:a16="http://schemas.microsoft.com/office/drawing/2014/main" id="{00000000-0008-0000-0000-00002356F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276225</xdr:colOff>
      <xdr:row>0</xdr:row>
      <xdr:rowOff>152400</xdr:rowOff>
    </xdr:from>
    <xdr:to>
      <xdr:col>23</xdr:col>
      <xdr:colOff>581025</xdr:colOff>
      <xdr:row>38</xdr:row>
      <xdr:rowOff>0</xdr:rowOff>
    </xdr:to>
    <xdr:graphicFrame macro="">
      <xdr:nvGraphicFramePr>
        <xdr:cNvPr id="16274980" name="5 Gráfico">
          <a:extLst>
            <a:ext uri="{FF2B5EF4-FFF2-40B4-BE49-F238E27FC236}">
              <a16:creationId xmlns:a16="http://schemas.microsoft.com/office/drawing/2014/main" id="{00000000-0008-0000-0000-00002456F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A00-00000C000000}"/>
            </a:ext>
          </a:extLst>
        </xdr:cNvPr>
        <xdr:cNvGrpSpPr>
          <a:grpSpLocks/>
        </xdr:cNvGrpSpPr>
      </xdr:nvGrpSpPr>
      <xdr:grpSpPr bwMode="auto">
        <a:xfrm>
          <a:off x="9525" y="0"/>
          <a:ext cx="26120271" cy="1265464"/>
          <a:chOff x="0" y="0"/>
          <a:chExt cx="14423" cy="1776"/>
        </a:xfrm>
      </xdr:grpSpPr>
      <xdr:sp macro="" textlink="">
        <xdr:nvSpPr>
          <xdr:cNvPr id="13" name="Rectangle 2">
            <a:extLst>
              <a:ext uri="{FF2B5EF4-FFF2-40B4-BE49-F238E27FC236}">
                <a16:creationId xmlns:a16="http://schemas.microsoft.com/office/drawing/2014/main" id="{00000000-0008-0000-0A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A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A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A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A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A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A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B00-00000C000000}"/>
            </a:ext>
          </a:extLst>
        </xdr:cNvPr>
        <xdr:cNvGrpSpPr>
          <a:grpSpLocks/>
        </xdr:cNvGrpSpPr>
      </xdr:nvGrpSpPr>
      <xdr:grpSpPr bwMode="auto">
        <a:xfrm>
          <a:off x="9525" y="0"/>
          <a:ext cx="25572244" cy="1262063"/>
          <a:chOff x="0" y="0"/>
          <a:chExt cx="14423" cy="1776"/>
        </a:xfrm>
      </xdr:grpSpPr>
      <xdr:sp macro="" textlink="">
        <xdr:nvSpPr>
          <xdr:cNvPr id="13" name="Rectangle 2">
            <a:extLst>
              <a:ext uri="{FF2B5EF4-FFF2-40B4-BE49-F238E27FC236}">
                <a16:creationId xmlns:a16="http://schemas.microsoft.com/office/drawing/2014/main" id="{00000000-0008-0000-0B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B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B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B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B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B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B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C00-00000C000000}"/>
            </a:ext>
          </a:extLst>
        </xdr:cNvPr>
        <xdr:cNvGrpSpPr>
          <a:grpSpLocks/>
        </xdr:cNvGrpSpPr>
      </xdr:nvGrpSpPr>
      <xdr:grpSpPr bwMode="auto">
        <a:xfrm>
          <a:off x="9525" y="0"/>
          <a:ext cx="30880050" cy="1276350"/>
          <a:chOff x="0" y="0"/>
          <a:chExt cx="14423" cy="1776"/>
        </a:xfrm>
      </xdr:grpSpPr>
      <xdr:sp macro="" textlink="">
        <xdr:nvSpPr>
          <xdr:cNvPr id="13" name="Rectangle 2">
            <a:extLst>
              <a:ext uri="{FF2B5EF4-FFF2-40B4-BE49-F238E27FC236}">
                <a16:creationId xmlns:a16="http://schemas.microsoft.com/office/drawing/2014/main" id="{00000000-0008-0000-0C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C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C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C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C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C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C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D00-00000C000000}"/>
            </a:ext>
          </a:extLst>
        </xdr:cNvPr>
        <xdr:cNvGrpSpPr>
          <a:grpSpLocks/>
        </xdr:cNvGrpSpPr>
      </xdr:nvGrpSpPr>
      <xdr:grpSpPr bwMode="auto">
        <a:xfrm>
          <a:off x="9525" y="0"/>
          <a:ext cx="28591329" cy="1265464"/>
          <a:chOff x="0" y="0"/>
          <a:chExt cx="14423" cy="1776"/>
        </a:xfrm>
      </xdr:grpSpPr>
      <xdr:sp macro="" textlink="">
        <xdr:nvSpPr>
          <xdr:cNvPr id="13" name="Rectangle 2">
            <a:extLst>
              <a:ext uri="{FF2B5EF4-FFF2-40B4-BE49-F238E27FC236}">
                <a16:creationId xmlns:a16="http://schemas.microsoft.com/office/drawing/2014/main" id="{00000000-0008-0000-0D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D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D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D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D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D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D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E00-00000C000000}"/>
            </a:ext>
          </a:extLst>
        </xdr:cNvPr>
        <xdr:cNvGrpSpPr>
          <a:grpSpLocks/>
        </xdr:cNvGrpSpPr>
      </xdr:nvGrpSpPr>
      <xdr:grpSpPr bwMode="auto">
        <a:xfrm>
          <a:off x="9525" y="0"/>
          <a:ext cx="36109275" cy="1270000"/>
          <a:chOff x="0" y="0"/>
          <a:chExt cx="14423" cy="1776"/>
        </a:xfrm>
      </xdr:grpSpPr>
      <xdr:sp macro="" textlink="">
        <xdr:nvSpPr>
          <xdr:cNvPr id="13" name="Rectangle 2">
            <a:extLst>
              <a:ext uri="{FF2B5EF4-FFF2-40B4-BE49-F238E27FC236}">
                <a16:creationId xmlns:a16="http://schemas.microsoft.com/office/drawing/2014/main" id="{00000000-0008-0000-0E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E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E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E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E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E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E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37" name="Group 1">
          <a:extLst>
            <a:ext uri="{FF2B5EF4-FFF2-40B4-BE49-F238E27FC236}">
              <a16:creationId xmlns:a16="http://schemas.microsoft.com/office/drawing/2014/main" id="{00000000-0008-0000-0F00-000025000000}"/>
            </a:ext>
          </a:extLst>
        </xdr:cNvPr>
        <xdr:cNvGrpSpPr>
          <a:grpSpLocks/>
        </xdr:cNvGrpSpPr>
      </xdr:nvGrpSpPr>
      <xdr:grpSpPr bwMode="auto">
        <a:xfrm>
          <a:off x="9525" y="0"/>
          <a:ext cx="27312257" cy="1265464"/>
          <a:chOff x="0" y="0"/>
          <a:chExt cx="14423" cy="1776"/>
        </a:xfrm>
      </xdr:grpSpPr>
      <xdr:sp macro="" textlink="">
        <xdr:nvSpPr>
          <xdr:cNvPr id="38" name="Rectangle 2">
            <a:extLst>
              <a:ext uri="{FF2B5EF4-FFF2-40B4-BE49-F238E27FC236}">
                <a16:creationId xmlns:a16="http://schemas.microsoft.com/office/drawing/2014/main" id="{00000000-0008-0000-0F00-000026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39" name="Text Box 3">
            <a:extLst>
              <a:ext uri="{FF2B5EF4-FFF2-40B4-BE49-F238E27FC236}">
                <a16:creationId xmlns:a16="http://schemas.microsoft.com/office/drawing/2014/main" id="{00000000-0008-0000-0F00-000027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40" name="Text Box 6">
            <a:extLst>
              <a:ext uri="{FF2B5EF4-FFF2-40B4-BE49-F238E27FC236}">
                <a16:creationId xmlns:a16="http://schemas.microsoft.com/office/drawing/2014/main" id="{00000000-0008-0000-0F00-000028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41" name="Text Box 7">
            <a:extLst>
              <a:ext uri="{FF2B5EF4-FFF2-40B4-BE49-F238E27FC236}">
                <a16:creationId xmlns:a16="http://schemas.microsoft.com/office/drawing/2014/main" id="{00000000-0008-0000-0F00-000029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42" name="Text Box 8">
            <a:extLst>
              <a:ext uri="{FF2B5EF4-FFF2-40B4-BE49-F238E27FC236}">
                <a16:creationId xmlns:a16="http://schemas.microsoft.com/office/drawing/2014/main" id="{00000000-0008-0000-0F00-00002A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43" name="Picture 250" descr="escudo">
          <a:extLst>
            <a:ext uri="{FF2B5EF4-FFF2-40B4-BE49-F238E27FC236}">
              <a16:creationId xmlns:a16="http://schemas.microsoft.com/office/drawing/2014/main" id="{00000000-0008-0000-0F00-00002B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44" name="Text Box 49">
          <a:extLst>
            <a:ext uri="{FF2B5EF4-FFF2-40B4-BE49-F238E27FC236}">
              <a16:creationId xmlns:a16="http://schemas.microsoft.com/office/drawing/2014/main" id="{00000000-0008-0000-0F00-00002C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000-00000C000000}"/>
            </a:ext>
          </a:extLst>
        </xdr:cNvPr>
        <xdr:cNvGrpSpPr>
          <a:grpSpLocks/>
        </xdr:cNvGrpSpPr>
      </xdr:nvGrpSpPr>
      <xdr:grpSpPr bwMode="auto">
        <a:xfrm>
          <a:off x="9525" y="0"/>
          <a:ext cx="25086129" cy="1265464"/>
          <a:chOff x="0" y="0"/>
          <a:chExt cx="14423" cy="1776"/>
        </a:xfrm>
      </xdr:grpSpPr>
      <xdr:sp macro="" textlink="">
        <xdr:nvSpPr>
          <xdr:cNvPr id="13" name="Rectangle 2">
            <a:extLst>
              <a:ext uri="{FF2B5EF4-FFF2-40B4-BE49-F238E27FC236}">
                <a16:creationId xmlns:a16="http://schemas.microsoft.com/office/drawing/2014/main" id="{00000000-0008-0000-10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0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0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0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0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0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0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100-00000C000000}"/>
            </a:ext>
          </a:extLst>
        </xdr:cNvPr>
        <xdr:cNvGrpSpPr>
          <a:grpSpLocks/>
        </xdr:cNvGrpSpPr>
      </xdr:nvGrpSpPr>
      <xdr:grpSpPr bwMode="auto">
        <a:xfrm>
          <a:off x="9525" y="0"/>
          <a:ext cx="25652186" cy="1265464"/>
          <a:chOff x="0" y="0"/>
          <a:chExt cx="14423" cy="1776"/>
        </a:xfrm>
      </xdr:grpSpPr>
      <xdr:sp macro="" textlink="">
        <xdr:nvSpPr>
          <xdr:cNvPr id="13" name="Rectangle 2">
            <a:extLst>
              <a:ext uri="{FF2B5EF4-FFF2-40B4-BE49-F238E27FC236}">
                <a16:creationId xmlns:a16="http://schemas.microsoft.com/office/drawing/2014/main" id="{00000000-0008-0000-11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1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1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1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1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1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1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200-00000C000000}"/>
            </a:ext>
          </a:extLst>
        </xdr:cNvPr>
        <xdr:cNvGrpSpPr>
          <a:grpSpLocks/>
        </xdr:cNvGrpSpPr>
      </xdr:nvGrpSpPr>
      <xdr:grpSpPr bwMode="auto">
        <a:xfrm>
          <a:off x="9525" y="0"/>
          <a:ext cx="27285043" cy="1265464"/>
          <a:chOff x="0" y="0"/>
          <a:chExt cx="14423" cy="1776"/>
        </a:xfrm>
      </xdr:grpSpPr>
      <xdr:sp macro="" textlink="">
        <xdr:nvSpPr>
          <xdr:cNvPr id="13" name="Rectangle 2">
            <a:extLst>
              <a:ext uri="{FF2B5EF4-FFF2-40B4-BE49-F238E27FC236}">
                <a16:creationId xmlns:a16="http://schemas.microsoft.com/office/drawing/2014/main" id="{00000000-0008-0000-12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2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2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2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2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2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2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300-00000C000000}"/>
            </a:ext>
          </a:extLst>
        </xdr:cNvPr>
        <xdr:cNvGrpSpPr>
          <a:grpSpLocks/>
        </xdr:cNvGrpSpPr>
      </xdr:nvGrpSpPr>
      <xdr:grpSpPr bwMode="auto">
        <a:xfrm>
          <a:off x="9525" y="0"/>
          <a:ext cx="25655588" cy="1262063"/>
          <a:chOff x="0" y="0"/>
          <a:chExt cx="14423" cy="1776"/>
        </a:xfrm>
      </xdr:grpSpPr>
      <xdr:sp macro="" textlink="">
        <xdr:nvSpPr>
          <xdr:cNvPr id="13" name="Rectangle 2">
            <a:extLst>
              <a:ext uri="{FF2B5EF4-FFF2-40B4-BE49-F238E27FC236}">
                <a16:creationId xmlns:a16="http://schemas.microsoft.com/office/drawing/2014/main" id="{00000000-0008-0000-13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3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3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3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3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3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3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6914982" name="Group 1">
          <a:extLst>
            <a:ext uri="{FF2B5EF4-FFF2-40B4-BE49-F238E27FC236}">
              <a16:creationId xmlns:a16="http://schemas.microsoft.com/office/drawing/2014/main" id="{00000000-0008-0000-0200-0000261A0201}"/>
            </a:ext>
          </a:extLst>
        </xdr:cNvPr>
        <xdr:cNvGrpSpPr>
          <a:grpSpLocks/>
        </xdr:cNvGrpSpPr>
      </xdr:nvGrpSpPr>
      <xdr:grpSpPr bwMode="auto">
        <a:xfrm>
          <a:off x="9525" y="0"/>
          <a:ext cx="26849614" cy="1265464"/>
          <a:chOff x="0" y="0"/>
          <a:chExt cx="14423" cy="1776"/>
        </a:xfrm>
      </xdr:grpSpPr>
      <xdr:sp macro="" textlink="">
        <xdr:nvSpPr>
          <xdr:cNvPr id="16914985" name="Rectangle 2">
            <a:extLst>
              <a:ext uri="{FF2B5EF4-FFF2-40B4-BE49-F238E27FC236}">
                <a16:creationId xmlns:a16="http://schemas.microsoft.com/office/drawing/2014/main" id="{00000000-0008-0000-0200-0000291A0201}"/>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2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4" name="Text Box 6">
            <a:extLst>
              <a:ext uri="{FF2B5EF4-FFF2-40B4-BE49-F238E27FC236}">
                <a16:creationId xmlns:a16="http://schemas.microsoft.com/office/drawing/2014/main" id="{00000000-0008-0000-0200-000018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5" name="Text Box 7">
            <a:extLst>
              <a:ext uri="{FF2B5EF4-FFF2-40B4-BE49-F238E27FC236}">
                <a16:creationId xmlns:a16="http://schemas.microsoft.com/office/drawing/2014/main" id="{00000000-0008-0000-0200-000019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6" name="Text Box 8">
            <a:extLst>
              <a:ext uri="{FF2B5EF4-FFF2-40B4-BE49-F238E27FC236}">
                <a16:creationId xmlns:a16="http://schemas.microsoft.com/office/drawing/2014/main" id="{00000000-0008-0000-0200-00001A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16914983" name="Picture 250" descr="escudo">
          <a:extLst>
            <a:ext uri="{FF2B5EF4-FFF2-40B4-BE49-F238E27FC236}">
              <a16:creationId xmlns:a16="http://schemas.microsoft.com/office/drawing/2014/main" id="{00000000-0008-0000-0200-0000271A0201}"/>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8" name="Text Box 49">
          <a:extLst>
            <a:ext uri="{FF2B5EF4-FFF2-40B4-BE49-F238E27FC236}">
              <a16:creationId xmlns:a16="http://schemas.microsoft.com/office/drawing/2014/main" id="{00000000-0008-0000-0200-00001C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400-00000C000000}"/>
            </a:ext>
          </a:extLst>
        </xdr:cNvPr>
        <xdr:cNvGrpSpPr>
          <a:grpSpLocks/>
        </xdr:cNvGrpSpPr>
      </xdr:nvGrpSpPr>
      <xdr:grpSpPr bwMode="auto">
        <a:xfrm>
          <a:off x="9525" y="0"/>
          <a:ext cx="26543794" cy="1262063"/>
          <a:chOff x="0" y="0"/>
          <a:chExt cx="14423" cy="1776"/>
        </a:xfrm>
      </xdr:grpSpPr>
      <xdr:sp macro="" textlink="">
        <xdr:nvSpPr>
          <xdr:cNvPr id="13" name="Rectangle 2">
            <a:extLst>
              <a:ext uri="{FF2B5EF4-FFF2-40B4-BE49-F238E27FC236}">
                <a16:creationId xmlns:a16="http://schemas.microsoft.com/office/drawing/2014/main" id="{00000000-0008-0000-14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4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4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4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4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4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4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500-00000C000000}"/>
            </a:ext>
          </a:extLst>
        </xdr:cNvPr>
        <xdr:cNvGrpSpPr>
          <a:grpSpLocks/>
        </xdr:cNvGrpSpPr>
      </xdr:nvGrpSpPr>
      <xdr:grpSpPr bwMode="auto">
        <a:xfrm>
          <a:off x="9525" y="0"/>
          <a:ext cx="27012900" cy="1265464"/>
          <a:chOff x="0" y="0"/>
          <a:chExt cx="14423" cy="1776"/>
        </a:xfrm>
      </xdr:grpSpPr>
      <xdr:sp macro="" textlink="">
        <xdr:nvSpPr>
          <xdr:cNvPr id="13" name="Rectangle 2">
            <a:extLst>
              <a:ext uri="{FF2B5EF4-FFF2-40B4-BE49-F238E27FC236}">
                <a16:creationId xmlns:a16="http://schemas.microsoft.com/office/drawing/2014/main" id="{00000000-0008-0000-15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5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5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5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5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5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5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600-00000C000000}"/>
            </a:ext>
          </a:extLst>
        </xdr:cNvPr>
        <xdr:cNvGrpSpPr>
          <a:grpSpLocks/>
        </xdr:cNvGrpSpPr>
      </xdr:nvGrpSpPr>
      <xdr:grpSpPr bwMode="auto">
        <a:xfrm>
          <a:off x="9525" y="0"/>
          <a:ext cx="28890686" cy="1265464"/>
          <a:chOff x="0" y="0"/>
          <a:chExt cx="14423" cy="1776"/>
        </a:xfrm>
      </xdr:grpSpPr>
      <xdr:sp macro="" textlink="">
        <xdr:nvSpPr>
          <xdr:cNvPr id="13" name="Rectangle 2">
            <a:extLst>
              <a:ext uri="{FF2B5EF4-FFF2-40B4-BE49-F238E27FC236}">
                <a16:creationId xmlns:a16="http://schemas.microsoft.com/office/drawing/2014/main" id="{00000000-0008-0000-16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6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6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6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6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6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6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39" name="Group 1">
          <a:extLst>
            <a:ext uri="{FF2B5EF4-FFF2-40B4-BE49-F238E27FC236}">
              <a16:creationId xmlns:a16="http://schemas.microsoft.com/office/drawing/2014/main" id="{00000000-0008-0000-1700-000027000000}"/>
            </a:ext>
          </a:extLst>
        </xdr:cNvPr>
        <xdr:cNvGrpSpPr>
          <a:grpSpLocks/>
        </xdr:cNvGrpSpPr>
      </xdr:nvGrpSpPr>
      <xdr:grpSpPr bwMode="auto">
        <a:xfrm>
          <a:off x="9525" y="0"/>
          <a:ext cx="26552525" cy="1270000"/>
          <a:chOff x="0" y="0"/>
          <a:chExt cx="14423" cy="1776"/>
        </a:xfrm>
      </xdr:grpSpPr>
      <xdr:sp macro="" textlink="">
        <xdr:nvSpPr>
          <xdr:cNvPr id="40" name="Rectangle 2">
            <a:extLst>
              <a:ext uri="{FF2B5EF4-FFF2-40B4-BE49-F238E27FC236}">
                <a16:creationId xmlns:a16="http://schemas.microsoft.com/office/drawing/2014/main" id="{00000000-0008-0000-1700-000028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41" name="Text Box 3">
            <a:extLst>
              <a:ext uri="{FF2B5EF4-FFF2-40B4-BE49-F238E27FC236}">
                <a16:creationId xmlns:a16="http://schemas.microsoft.com/office/drawing/2014/main" id="{00000000-0008-0000-1700-000029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42" name="Text Box 6">
            <a:extLst>
              <a:ext uri="{FF2B5EF4-FFF2-40B4-BE49-F238E27FC236}">
                <a16:creationId xmlns:a16="http://schemas.microsoft.com/office/drawing/2014/main" id="{00000000-0008-0000-1700-00002A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43" name="Text Box 7">
            <a:extLst>
              <a:ext uri="{FF2B5EF4-FFF2-40B4-BE49-F238E27FC236}">
                <a16:creationId xmlns:a16="http://schemas.microsoft.com/office/drawing/2014/main" id="{00000000-0008-0000-1700-00002B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44" name="Text Box 8">
            <a:extLst>
              <a:ext uri="{FF2B5EF4-FFF2-40B4-BE49-F238E27FC236}">
                <a16:creationId xmlns:a16="http://schemas.microsoft.com/office/drawing/2014/main" id="{00000000-0008-0000-1700-00002C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45" name="Picture 250" descr="escudo">
          <a:extLst>
            <a:ext uri="{FF2B5EF4-FFF2-40B4-BE49-F238E27FC236}">
              <a16:creationId xmlns:a16="http://schemas.microsoft.com/office/drawing/2014/main" id="{00000000-0008-0000-1700-00002D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46" name="Text Box 49">
          <a:extLst>
            <a:ext uri="{FF2B5EF4-FFF2-40B4-BE49-F238E27FC236}">
              <a16:creationId xmlns:a16="http://schemas.microsoft.com/office/drawing/2014/main" id="{00000000-0008-0000-1700-00002E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800-00000C000000}"/>
            </a:ext>
          </a:extLst>
        </xdr:cNvPr>
        <xdr:cNvGrpSpPr>
          <a:grpSpLocks/>
        </xdr:cNvGrpSpPr>
      </xdr:nvGrpSpPr>
      <xdr:grpSpPr bwMode="auto">
        <a:xfrm>
          <a:off x="9525" y="0"/>
          <a:ext cx="27434381" cy="1262063"/>
          <a:chOff x="0" y="0"/>
          <a:chExt cx="14423" cy="1776"/>
        </a:xfrm>
      </xdr:grpSpPr>
      <xdr:sp macro="" textlink="">
        <xdr:nvSpPr>
          <xdr:cNvPr id="13" name="Rectangle 2">
            <a:extLst>
              <a:ext uri="{FF2B5EF4-FFF2-40B4-BE49-F238E27FC236}">
                <a16:creationId xmlns:a16="http://schemas.microsoft.com/office/drawing/2014/main" id="{00000000-0008-0000-18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8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8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8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8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8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8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900-00000C000000}"/>
            </a:ext>
          </a:extLst>
        </xdr:cNvPr>
        <xdr:cNvGrpSpPr>
          <a:grpSpLocks/>
        </xdr:cNvGrpSpPr>
      </xdr:nvGrpSpPr>
      <xdr:grpSpPr bwMode="auto">
        <a:xfrm>
          <a:off x="9525" y="0"/>
          <a:ext cx="25786556" cy="1262063"/>
          <a:chOff x="0" y="0"/>
          <a:chExt cx="14423" cy="1776"/>
        </a:xfrm>
      </xdr:grpSpPr>
      <xdr:sp macro="" textlink="">
        <xdr:nvSpPr>
          <xdr:cNvPr id="13" name="Rectangle 2">
            <a:extLst>
              <a:ext uri="{FF2B5EF4-FFF2-40B4-BE49-F238E27FC236}">
                <a16:creationId xmlns:a16="http://schemas.microsoft.com/office/drawing/2014/main" id="{00000000-0008-0000-19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19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19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19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19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19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19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A00-00000C000000}"/>
            </a:ext>
          </a:extLst>
        </xdr:cNvPr>
        <xdr:cNvGrpSpPr>
          <a:grpSpLocks/>
        </xdr:cNvGrpSpPr>
      </xdr:nvGrpSpPr>
      <xdr:grpSpPr bwMode="auto">
        <a:xfrm>
          <a:off x="9525" y="0"/>
          <a:ext cx="24869775" cy="1266825"/>
          <a:chOff x="0" y="0"/>
          <a:chExt cx="14423" cy="1776"/>
        </a:xfrm>
      </xdr:grpSpPr>
      <xdr:sp macro="" textlink="">
        <xdr:nvSpPr>
          <xdr:cNvPr id="13" name="Rectangle 2">
            <a:extLst>
              <a:ext uri="{FF2B5EF4-FFF2-40B4-BE49-F238E27FC236}">
                <a16:creationId xmlns:a16="http://schemas.microsoft.com/office/drawing/2014/main" id="{00000000-0008-0000-1A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14" name="Text Box 3">
            <a:extLst>
              <a:ext uri="{FF2B5EF4-FFF2-40B4-BE49-F238E27FC236}">
                <a16:creationId xmlns:a16="http://schemas.microsoft.com/office/drawing/2014/main" id="{00000000-0008-0000-1A00-00000E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15" name="Text Box 6">
            <a:extLst>
              <a:ext uri="{FF2B5EF4-FFF2-40B4-BE49-F238E27FC236}">
                <a16:creationId xmlns:a16="http://schemas.microsoft.com/office/drawing/2014/main" id="{00000000-0008-0000-1A00-00000F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16" name="Text Box 7">
            <a:extLst>
              <a:ext uri="{FF2B5EF4-FFF2-40B4-BE49-F238E27FC236}">
                <a16:creationId xmlns:a16="http://schemas.microsoft.com/office/drawing/2014/main" id="{00000000-0008-0000-1A00-000010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17" name="Text Box 8">
            <a:extLst>
              <a:ext uri="{FF2B5EF4-FFF2-40B4-BE49-F238E27FC236}">
                <a16:creationId xmlns:a16="http://schemas.microsoft.com/office/drawing/2014/main" id="{00000000-0008-0000-1A00-000011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18" name="Picture 250" descr="escudo">
          <a:extLst>
            <a:ext uri="{FF2B5EF4-FFF2-40B4-BE49-F238E27FC236}">
              <a16:creationId xmlns:a16="http://schemas.microsoft.com/office/drawing/2014/main" id="{00000000-0008-0000-1A00-000012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19" name="Text Box 49">
          <a:extLst>
            <a:ext uri="{FF2B5EF4-FFF2-40B4-BE49-F238E27FC236}">
              <a16:creationId xmlns:a16="http://schemas.microsoft.com/office/drawing/2014/main" id="{00000000-0008-0000-1A00-000013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1B00-00000C000000}"/>
            </a:ext>
          </a:extLst>
        </xdr:cNvPr>
        <xdr:cNvGrpSpPr>
          <a:grpSpLocks/>
        </xdr:cNvGrpSpPr>
      </xdr:nvGrpSpPr>
      <xdr:grpSpPr bwMode="auto">
        <a:xfrm>
          <a:off x="9525" y="0"/>
          <a:ext cx="25393650" cy="1265464"/>
          <a:chOff x="0" y="0"/>
          <a:chExt cx="14423" cy="1776"/>
        </a:xfrm>
      </xdr:grpSpPr>
      <xdr:sp macro="" textlink="">
        <xdr:nvSpPr>
          <xdr:cNvPr id="13" name="Rectangle 2">
            <a:extLst>
              <a:ext uri="{FF2B5EF4-FFF2-40B4-BE49-F238E27FC236}">
                <a16:creationId xmlns:a16="http://schemas.microsoft.com/office/drawing/2014/main" id="{00000000-0008-0000-1B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14" name="Text Box 3">
            <a:extLst>
              <a:ext uri="{FF2B5EF4-FFF2-40B4-BE49-F238E27FC236}">
                <a16:creationId xmlns:a16="http://schemas.microsoft.com/office/drawing/2014/main" id="{00000000-0008-0000-1B00-00000E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15" name="Text Box 6">
            <a:extLst>
              <a:ext uri="{FF2B5EF4-FFF2-40B4-BE49-F238E27FC236}">
                <a16:creationId xmlns:a16="http://schemas.microsoft.com/office/drawing/2014/main" id="{00000000-0008-0000-1B00-00000F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16" name="Text Box 7">
            <a:extLst>
              <a:ext uri="{FF2B5EF4-FFF2-40B4-BE49-F238E27FC236}">
                <a16:creationId xmlns:a16="http://schemas.microsoft.com/office/drawing/2014/main" id="{00000000-0008-0000-1B00-000010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17" name="Text Box 8">
            <a:extLst>
              <a:ext uri="{FF2B5EF4-FFF2-40B4-BE49-F238E27FC236}">
                <a16:creationId xmlns:a16="http://schemas.microsoft.com/office/drawing/2014/main" id="{00000000-0008-0000-1B00-000011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18" name="Picture 250" descr="escudo">
          <a:extLst>
            <a:ext uri="{FF2B5EF4-FFF2-40B4-BE49-F238E27FC236}">
              <a16:creationId xmlns:a16="http://schemas.microsoft.com/office/drawing/2014/main" id="{00000000-0008-0000-1B00-000012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19" name="Text Box 49">
          <a:extLst>
            <a:ext uri="{FF2B5EF4-FFF2-40B4-BE49-F238E27FC236}">
              <a16:creationId xmlns:a16="http://schemas.microsoft.com/office/drawing/2014/main" id="{00000000-0008-0000-1B00-000013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2" name="Group 1">
          <a:extLst>
            <a:ext uri="{FF2B5EF4-FFF2-40B4-BE49-F238E27FC236}">
              <a16:creationId xmlns:a16="http://schemas.microsoft.com/office/drawing/2014/main" id="{00000000-0008-0000-1C00-000002000000}"/>
            </a:ext>
          </a:extLst>
        </xdr:cNvPr>
        <xdr:cNvGrpSpPr>
          <a:grpSpLocks/>
        </xdr:cNvGrpSpPr>
      </xdr:nvGrpSpPr>
      <xdr:grpSpPr bwMode="auto">
        <a:xfrm>
          <a:off x="9525" y="0"/>
          <a:ext cx="27638829" cy="1265464"/>
          <a:chOff x="0" y="0"/>
          <a:chExt cx="14423" cy="1776"/>
        </a:xfrm>
      </xdr:grpSpPr>
      <xdr:sp macro="" textlink="">
        <xdr:nvSpPr>
          <xdr:cNvPr id="3" name="Rectangle 2">
            <a:extLst>
              <a:ext uri="{FF2B5EF4-FFF2-40B4-BE49-F238E27FC236}">
                <a16:creationId xmlns:a16="http://schemas.microsoft.com/office/drawing/2014/main" id="{00000000-0008-0000-1C00-000003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4" name="Text Box 3">
            <a:extLst>
              <a:ext uri="{FF2B5EF4-FFF2-40B4-BE49-F238E27FC236}">
                <a16:creationId xmlns:a16="http://schemas.microsoft.com/office/drawing/2014/main" id="{00000000-0008-0000-1C00-00000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5" name="Text Box 6">
            <a:extLst>
              <a:ext uri="{FF2B5EF4-FFF2-40B4-BE49-F238E27FC236}">
                <a16:creationId xmlns:a16="http://schemas.microsoft.com/office/drawing/2014/main" id="{00000000-0008-0000-1C00-000005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6" name="Text Box 7">
            <a:extLst>
              <a:ext uri="{FF2B5EF4-FFF2-40B4-BE49-F238E27FC236}">
                <a16:creationId xmlns:a16="http://schemas.microsoft.com/office/drawing/2014/main" id="{00000000-0008-0000-1C00-000006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7" name="Text Box 8">
            <a:extLst>
              <a:ext uri="{FF2B5EF4-FFF2-40B4-BE49-F238E27FC236}">
                <a16:creationId xmlns:a16="http://schemas.microsoft.com/office/drawing/2014/main" id="{00000000-0008-0000-1C00-000007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8" name="Picture 250" descr="escudo">
          <a:extLst>
            <a:ext uri="{FF2B5EF4-FFF2-40B4-BE49-F238E27FC236}">
              <a16:creationId xmlns:a16="http://schemas.microsoft.com/office/drawing/2014/main" id="{00000000-0008-0000-1C00-000008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9" name="Text Box 49">
          <a:extLst>
            <a:ext uri="{FF2B5EF4-FFF2-40B4-BE49-F238E27FC236}">
              <a16:creationId xmlns:a16="http://schemas.microsoft.com/office/drawing/2014/main" id="{00000000-0008-0000-1C00-000009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300-00000C000000}"/>
            </a:ext>
          </a:extLst>
        </xdr:cNvPr>
        <xdr:cNvGrpSpPr>
          <a:grpSpLocks/>
        </xdr:cNvGrpSpPr>
      </xdr:nvGrpSpPr>
      <xdr:grpSpPr bwMode="auto">
        <a:xfrm>
          <a:off x="9525" y="0"/>
          <a:ext cx="28663900" cy="1270000"/>
          <a:chOff x="0" y="0"/>
          <a:chExt cx="14423" cy="1776"/>
        </a:xfrm>
      </xdr:grpSpPr>
      <xdr:sp macro="" textlink="">
        <xdr:nvSpPr>
          <xdr:cNvPr id="13" name="Rectangle 2">
            <a:extLst>
              <a:ext uri="{FF2B5EF4-FFF2-40B4-BE49-F238E27FC236}">
                <a16:creationId xmlns:a16="http://schemas.microsoft.com/office/drawing/2014/main" id="{00000000-0008-0000-03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3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3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3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3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3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3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400-00000C000000}"/>
            </a:ext>
          </a:extLst>
        </xdr:cNvPr>
        <xdr:cNvGrpSpPr>
          <a:grpSpLocks/>
        </xdr:cNvGrpSpPr>
      </xdr:nvGrpSpPr>
      <xdr:grpSpPr bwMode="auto">
        <a:xfrm>
          <a:off x="9525" y="0"/>
          <a:ext cx="25479375" cy="1276350"/>
          <a:chOff x="0" y="0"/>
          <a:chExt cx="14423" cy="1776"/>
        </a:xfrm>
      </xdr:grpSpPr>
      <xdr:sp macro="" textlink="">
        <xdr:nvSpPr>
          <xdr:cNvPr id="13" name="Rectangl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4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4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4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4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latin typeface="Arial" panose="020B0604020202020204" pitchFamily="34" charset="0"/>
              <a:cs typeface="Arial" panose="020B0604020202020204" pitchFamily="34" charset="0"/>
            </a:endParaRPr>
          </a:p>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4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4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500-00000C000000}"/>
            </a:ext>
          </a:extLst>
        </xdr:cNvPr>
        <xdr:cNvGrpSpPr>
          <a:grpSpLocks/>
        </xdr:cNvGrpSpPr>
      </xdr:nvGrpSpPr>
      <xdr:grpSpPr bwMode="auto">
        <a:xfrm>
          <a:off x="9525" y="0"/>
          <a:ext cx="25666700" cy="1270000"/>
          <a:chOff x="0" y="0"/>
          <a:chExt cx="14423" cy="1776"/>
        </a:xfrm>
      </xdr:grpSpPr>
      <xdr:sp macro="" textlink="">
        <xdr:nvSpPr>
          <xdr:cNvPr id="13" name="Rectangle 2">
            <a:extLst>
              <a:ext uri="{FF2B5EF4-FFF2-40B4-BE49-F238E27FC236}">
                <a16:creationId xmlns:a16="http://schemas.microsoft.com/office/drawing/2014/main" id="{00000000-0008-0000-05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5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5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5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5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5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5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600-00000C000000}"/>
            </a:ext>
          </a:extLst>
        </xdr:cNvPr>
        <xdr:cNvGrpSpPr>
          <a:grpSpLocks/>
        </xdr:cNvGrpSpPr>
      </xdr:nvGrpSpPr>
      <xdr:grpSpPr bwMode="auto">
        <a:xfrm>
          <a:off x="9525" y="0"/>
          <a:ext cx="30486350" cy="1270000"/>
          <a:chOff x="0" y="0"/>
          <a:chExt cx="14423" cy="1776"/>
        </a:xfrm>
      </xdr:grpSpPr>
      <xdr:sp macro="" textlink="">
        <xdr:nvSpPr>
          <xdr:cNvPr id="13" name="Rectangle 2">
            <a:extLst>
              <a:ext uri="{FF2B5EF4-FFF2-40B4-BE49-F238E27FC236}">
                <a16:creationId xmlns:a16="http://schemas.microsoft.com/office/drawing/2014/main" id="{00000000-0008-0000-06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6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6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6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6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6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6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700-00000C000000}"/>
            </a:ext>
          </a:extLst>
        </xdr:cNvPr>
        <xdr:cNvGrpSpPr>
          <a:grpSpLocks/>
        </xdr:cNvGrpSpPr>
      </xdr:nvGrpSpPr>
      <xdr:grpSpPr bwMode="auto">
        <a:xfrm>
          <a:off x="9525" y="0"/>
          <a:ext cx="27028775" cy="1270000"/>
          <a:chOff x="0" y="0"/>
          <a:chExt cx="14423" cy="1776"/>
        </a:xfrm>
      </xdr:grpSpPr>
      <xdr:sp macro="" textlink="">
        <xdr:nvSpPr>
          <xdr:cNvPr id="13" name="Rectangle 2">
            <a:extLst>
              <a:ext uri="{FF2B5EF4-FFF2-40B4-BE49-F238E27FC236}">
                <a16:creationId xmlns:a16="http://schemas.microsoft.com/office/drawing/2014/main" id="{00000000-0008-0000-07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7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7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7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7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endParaRPr lang="es-CO" sz="1000">
              <a:effectLst/>
              <a:latin typeface="Arial" panose="020B0604020202020204" pitchFamily="34" charset="0"/>
              <a:cs typeface="Arial" panose="020B0604020202020204"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7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7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1</xdr:row>
      <xdr:rowOff>0</xdr:rowOff>
    </xdr:from>
    <xdr:to>
      <xdr:col>24</xdr:col>
      <xdr:colOff>1133475</xdr:colOff>
      <xdr:row>1</xdr:row>
      <xdr:rowOff>28575</xdr:rowOff>
    </xdr:to>
    <xdr:grpSp>
      <xdr:nvGrpSpPr>
        <xdr:cNvPr id="16812653" name="Group 1">
          <a:extLst>
            <a:ext uri="{FF2B5EF4-FFF2-40B4-BE49-F238E27FC236}">
              <a16:creationId xmlns:a16="http://schemas.microsoft.com/office/drawing/2014/main" id="{00000000-0008-0000-0800-00006D8A0001}"/>
            </a:ext>
          </a:extLst>
        </xdr:cNvPr>
        <xdr:cNvGrpSpPr>
          <a:grpSpLocks/>
        </xdr:cNvGrpSpPr>
      </xdr:nvGrpSpPr>
      <xdr:grpSpPr bwMode="auto">
        <a:xfrm>
          <a:off x="28575" y="1262063"/>
          <a:ext cx="24822150" cy="28575"/>
          <a:chOff x="0" y="0"/>
          <a:chExt cx="14423" cy="1776"/>
        </a:xfrm>
      </xdr:grpSpPr>
      <xdr:sp macro="" textlink="">
        <xdr:nvSpPr>
          <xdr:cNvPr id="16812656" name="Rectangle 2">
            <a:extLst>
              <a:ext uri="{FF2B5EF4-FFF2-40B4-BE49-F238E27FC236}">
                <a16:creationId xmlns:a16="http://schemas.microsoft.com/office/drawing/2014/main" id="{00000000-0008-0000-0800-0000708A0001}"/>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14" name="Text Box 3">
            <a:extLst>
              <a:ext uri="{FF2B5EF4-FFF2-40B4-BE49-F238E27FC236}">
                <a16:creationId xmlns:a16="http://schemas.microsoft.com/office/drawing/2014/main" id="{00000000-0008-0000-0800-00000E000000}"/>
              </a:ext>
            </a:extLst>
          </xdr:cNvPr>
          <xdr:cNvSpPr txBox="1">
            <a:spLocks noChangeArrowheads="1"/>
          </xdr:cNvSpPr>
        </xdr:nvSpPr>
        <xdr:spPr bwMode="auto">
          <a:xfrm>
            <a:off x="11004" y="0"/>
            <a:ext cx="3419" cy="588"/>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MEDE01.03.03.18.P01.F05 </a:t>
            </a:r>
            <a:endParaRPr lang="es-CO" sz="900">
              <a:effectLst/>
              <a:latin typeface="Arial" pitchFamily="34" charset="0"/>
              <a:cs typeface="Arial" pitchFamily="34" charset="0"/>
            </a:endParaRPr>
          </a:p>
        </xdr:txBody>
      </xdr:sp>
      <xdr:sp macro="" textlink="" fLocksText="0">
        <xdr:nvSpPr>
          <xdr:cNvPr id="15" name="Rectangle 4">
            <a:extLst>
              <a:ext uri="{FF2B5EF4-FFF2-40B4-BE49-F238E27FC236}">
                <a16:creationId xmlns:a16="http://schemas.microsoft.com/office/drawing/2014/main" id="{00000000-0008-0000-0800-00000F000000}"/>
              </a:ext>
            </a:extLst>
          </xdr:cNvPr>
          <xdr:cNvSpPr>
            <a:spLocks noChangeArrowheads="1"/>
          </xdr:cNvSpPr>
        </xdr:nvSpPr>
        <xdr:spPr bwMode="auto">
          <a:xfrm>
            <a:off x="12742" y="588"/>
            <a:ext cx="1681" cy="307"/>
          </a:xfrm>
          <a:prstGeom prst="rect">
            <a:avLst/>
          </a:prstGeom>
          <a:solidFill>
            <a:srgbClr val="FFFFFF"/>
          </a:solidFill>
          <a:ln w="9360">
            <a:solidFill>
              <a:srgbClr val="000000"/>
            </a:solidFill>
            <a:miter lim="800000"/>
            <a:headEnd/>
            <a:tailEnd/>
          </a:ln>
          <a:effectLst/>
        </xdr:spPr>
        <xdr:txBody>
          <a:bodyPr vertOverflow="clip" wrap="square" lIns="27360" tIns="22680" rIns="27360" bIns="0" anchor="ctr" upright="1"/>
          <a:lstStyle/>
          <a:p>
            <a:pPr algn="ctr" rtl="0">
              <a:defRPr sz="1000"/>
            </a:pPr>
            <a:r>
              <a:rPr lang="es-CO" sz="800" b="0" i="0" strike="noStrike">
                <a:solidFill>
                  <a:schemeClr val="tx1"/>
                </a:solidFill>
                <a:latin typeface="Arial"/>
                <a:cs typeface="Arial"/>
              </a:rPr>
              <a:t>9</a:t>
            </a:r>
          </a:p>
        </xdr:txBody>
      </xdr:sp>
      <xdr:sp macro="" textlink="" fLocksText="0">
        <xdr:nvSpPr>
          <xdr:cNvPr id="16" name="Rectangle 5">
            <a:extLst>
              <a:ext uri="{FF2B5EF4-FFF2-40B4-BE49-F238E27FC236}">
                <a16:creationId xmlns:a16="http://schemas.microsoft.com/office/drawing/2014/main" id="{00000000-0008-0000-0800-000010000000}"/>
              </a:ext>
            </a:extLst>
          </xdr:cNvPr>
          <xdr:cNvSpPr>
            <a:spLocks noChangeArrowheads="1"/>
          </xdr:cNvSpPr>
        </xdr:nvSpPr>
        <xdr:spPr bwMode="auto">
          <a:xfrm>
            <a:off x="11004" y="588"/>
            <a:ext cx="1755" cy="307"/>
          </a:xfrm>
          <a:prstGeom prst="rect">
            <a:avLst/>
          </a:prstGeom>
          <a:solidFill>
            <a:srgbClr val="FFFFFF"/>
          </a:solidFill>
          <a:ln w="9360">
            <a:solidFill>
              <a:srgbClr val="000000"/>
            </a:solidFill>
            <a:miter lim="800000"/>
            <a:headEnd/>
            <a:tailEnd/>
          </a:ln>
          <a:effectLst/>
        </xdr:spPr>
        <xdr:txBody>
          <a:bodyPr vertOverflow="clip" wrap="square" lIns="27360" tIns="22680" rIns="27360" bIns="0" anchor="ctr" upright="1"/>
          <a:lstStyle/>
          <a:p>
            <a:pPr algn="ctr" rtl="0">
              <a:defRPr sz="1000"/>
            </a:pPr>
            <a:r>
              <a:rPr lang="es-CO" sz="800" b="0" i="0" strike="noStrike">
                <a:solidFill>
                  <a:srgbClr val="000000"/>
                </a:solidFill>
                <a:latin typeface="Arial"/>
                <a:cs typeface="Arial"/>
              </a:rPr>
              <a:t>VERSIÓN</a:t>
            </a:r>
          </a:p>
        </xdr:txBody>
      </xdr:sp>
      <xdr:sp macro="" textlink="" fLocksText="0">
        <xdr:nvSpPr>
          <xdr:cNvPr id="17" name="Text Box 6">
            <a:extLst>
              <a:ext uri="{FF2B5EF4-FFF2-40B4-BE49-F238E27FC236}">
                <a16:creationId xmlns:a16="http://schemas.microsoft.com/office/drawing/2014/main" id="{00000000-0008-0000-0800-000011000000}"/>
              </a:ext>
            </a:extLst>
          </xdr:cNvPr>
          <xdr:cNvSpPr txBox="1">
            <a:spLocks noChangeArrowheads="1"/>
          </xdr:cNvSpPr>
        </xdr:nvSpPr>
        <xdr:spPr bwMode="auto">
          <a:xfrm>
            <a:off x="12758" y="895"/>
            <a:ext cx="1665"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09/jul/2020</a:t>
            </a:r>
            <a:endParaRPr lang="es-CO" sz="800">
              <a:solidFill>
                <a:schemeClr val="tx1"/>
              </a:solidFill>
              <a:latin typeface="Arial" pitchFamily="34" charset="0"/>
              <a:cs typeface="Arial" pitchFamily="34" charset="0"/>
            </a:endParaRPr>
          </a:p>
        </xdr:txBody>
      </xdr:sp>
      <xdr:sp macro="" textlink="" fLocksText="0">
        <xdr:nvSpPr>
          <xdr:cNvPr id="18" name="Text Box 7">
            <a:extLst>
              <a:ext uri="{FF2B5EF4-FFF2-40B4-BE49-F238E27FC236}">
                <a16:creationId xmlns:a16="http://schemas.microsoft.com/office/drawing/2014/main" id="{00000000-0008-0000-0800-000012000000}"/>
              </a:ext>
            </a:extLst>
          </xdr:cNvPr>
          <xdr:cNvSpPr txBox="1">
            <a:spLocks noChangeArrowheads="1"/>
          </xdr:cNvSpPr>
        </xdr:nvSpPr>
        <xdr:spPr bwMode="auto">
          <a:xfrm>
            <a:off x="11004" y="895"/>
            <a:ext cx="1755"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effectLst/>
                <a:latin typeface="Arial" panose="020B0604020202020204" pitchFamily="34" charset="0"/>
                <a:ea typeface="+mn-ea"/>
                <a:cs typeface="Arial" panose="020B0604020202020204" pitchFamily="34" charset="0"/>
              </a:rPr>
              <a:t>FECHA  DE ENTRADA</a:t>
            </a:r>
            <a:endParaRPr lang="en-US" sz="800">
              <a:effectLst/>
              <a:latin typeface="Arial" panose="020B0604020202020204" pitchFamily="34" charset="0"/>
              <a:cs typeface="Arial" panose="020B0604020202020204" pitchFamily="34" charset="0"/>
            </a:endParaRPr>
          </a:p>
          <a:p>
            <a:pPr algn="ctr"/>
            <a:r>
              <a:rPr lang="es-CO" sz="800" b="0" i="0">
                <a:effectLst/>
                <a:latin typeface="Arial" panose="020B0604020202020204" pitchFamily="34" charset="0"/>
                <a:ea typeface="+mn-ea"/>
                <a:cs typeface="Arial" panose="020B0604020202020204" pitchFamily="34" charset="0"/>
              </a:rPr>
              <a:t>EN VIGENCIA</a:t>
            </a:r>
            <a:endParaRPr lang="en-US" sz="800">
              <a:effectLst/>
              <a:latin typeface="Arial" panose="020B0604020202020204" pitchFamily="34" charset="0"/>
              <a:cs typeface="Arial" panose="020B0604020202020204" pitchFamily="34" charset="0"/>
            </a:endParaRPr>
          </a:p>
        </xdr:txBody>
      </xdr:sp>
      <xdr:sp macro="" textlink="" fLocksText="0">
        <xdr:nvSpPr>
          <xdr:cNvPr id="19" name="Text Box 8">
            <a:extLst>
              <a:ext uri="{FF2B5EF4-FFF2-40B4-BE49-F238E27FC236}">
                <a16:creationId xmlns:a16="http://schemas.microsoft.com/office/drawing/2014/main" id="{00000000-0008-0000-0800-000013000000}"/>
              </a:ext>
            </a:extLst>
          </xdr:cNvPr>
          <xdr:cNvSpPr txBox="1">
            <a:spLocks noChangeArrowheads="1"/>
          </xdr:cNvSpPr>
        </xdr:nvSpPr>
        <xdr:spPr bwMode="auto">
          <a:xfrm>
            <a:off x="1776" y="0"/>
            <a:ext cx="9228"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endParaRPr lang="es-CO" sz="1000">
              <a:effectLst/>
            </a:endParaRPr>
          </a:p>
          <a:p>
            <a:pPr algn="ctr" rtl="1"/>
            <a:r>
              <a:rPr lang="es-CO" sz="1000" b="0" i="0">
                <a:effectLst/>
                <a:latin typeface="Arial" panose="020B0604020202020204" pitchFamily="34" charset="0"/>
                <a:ea typeface="+mn-ea"/>
                <a:cs typeface="Arial" panose="020B0604020202020204" pitchFamily="34" charset="0"/>
              </a:rPr>
              <a:t>SISTEMAS DE GESTIÓN Y CONTROL</a:t>
            </a:r>
            <a:r>
              <a:rPr lang="es-CO" sz="1000" b="0" i="0" baseline="0">
                <a:effectLst/>
                <a:latin typeface="Arial" panose="020B0604020202020204" pitchFamily="34" charset="0"/>
                <a:ea typeface="+mn-ea"/>
                <a:cs typeface="Arial" panose="020B0604020202020204" pitchFamily="34" charset="0"/>
              </a:rPr>
              <a:t> INTEGRADOS</a:t>
            </a:r>
            <a:endParaRPr lang="en-US" sz="1000">
              <a:effectLst/>
              <a:latin typeface="Arial" panose="020B0604020202020204" pitchFamily="34" charset="0"/>
              <a:cs typeface="Arial" panose="020B0604020202020204" pitchFamily="34" charset="0"/>
            </a:endParaRPr>
          </a:p>
          <a:p>
            <a:pPr algn="ctr"/>
            <a:r>
              <a:rPr lang="es-ES" sz="1000">
                <a:effectLst/>
                <a:latin typeface="Arial" pitchFamily="34" charset="0"/>
                <a:ea typeface="+mn-ea"/>
                <a:cs typeface="Arial" pitchFamily="34" charset="0"/>
              </a:rPr>
              <a:t>SGC - MECI - SISTEDA </a:t>
            </a:r>
          </a:p>
          <a:p>
            <a:pPr algn="ctr"/>
            <a:endParaRPr lang="es-CO" sz="1000">
              <a:effectLst/>
              <a:latin typeface="Arial" pitchFamily="34" charset="0"/>
              <a:cs typeface="Arial" pitchFamily="34" charset="0"/>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0</xdr:col>
      <xdr:colOff>9525</xdr:colOff>
      <xdr:row>0</xdr:row>
      <xdr:rowOff>0</xdr:rowOff>
    </xdr:from>
    <xdr:to>
      <xdr:col>24</xdr:col>
      <xdr:colOff>1151418</xdr:colOff>
      <xdr:row>1</xdr:row>
      <xdr:rowOff>15240</xdr:rowOff>
    </xdr:to>
    <xdr:grpSp>
      <xdr:nvGrpSpPr>
        <xdr:cNvPr id="12" name="Group 1">
          <a:extLst>
            <a:ext uri="{FF2B5EF4-FFF2-40B4-BE49-F238E27FC236}">
              <a16:creationId xmlns:a16="http://schemas.microsoft.com/office/drawing/2014/main" id="{00000000-0008-0000-0800-00000C000000}"/>
            </a:ext>
          </a:extLst>
        </xdr:cNvPr>
        <xdr:cNvGrpSpPr>
          <a:grpSpLocks/>
        </xdr:cNvGrpSpPr>
      </xdr:nvGrpSpPr>
      <xdr:grpSpPr bwMode="auto">
        <a:xfrm>
          <a:off x="9525" y="0"/>
          <a:ext cx="24849618" cy="1277303"/>
          <a:chOff x="0" y="0"/>
          <a:chExt cx="14443" cy="1776"/>
        </a:xfrm>
      </xdr:grpSpPr>
      <xdr:sp macro="" textlink="">
        <xdr:nvSpPr>
          <xdr:cNvPr id="13" name="Rectangle 2">
            <a:extLst>
              <a:ext uri="{FF2B5EF4-FFF2-40B4-BE49-F238E27FC236}">
                <a16:creationId xmlns:a16="http://schemas.microsoft.com/office/drawing/2014/main" id="{00000000-0008-0000-08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800-000014000000}"/>
              </a:ext>
            </a:extLst>
          </xdr:cNvPr>
          <xdr:cNvSpPr txBox="1">
            <a:spLocks noChangeArrowheads="1"/>
          </xdr:cNvSpPr>
        </xdr:nvSpPr>
        <xdr:spPr bwMode="auto">
          <a:xfrm>
            <a:off x="11004" y="0"/>
            <a:ext cx="3434"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800-000016000000}"/>
              </a:ext>
            </a:extLst>
          </xdr:cNvPr>
          <xdr:cNvSpPr txBox="1">
            <a:spLocks noChangeArrowheads="1"/>
          </xdr:cNvSpPr>
        </xdr:nvSpPr>
        <xdr:spPr bwMode="auto">
          <a:xfrm>
            <a:off x="12756" y="920"/>
            <a:ext cx="1687" cy="856"/>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8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8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p>
          <a:p>
            <a:pPr algn="ctr" rtl="0"/>
            <a:endParaRPr lang="es-CO" sz="1000">
              <a:effectLst/>
            </a:endParaRP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8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8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xdr:colOff>
      <xdr:row>0</xdr:row>
      <xdr:rowOff>0</xdr:rowOff>
    </xdr:from>
    <xdr:to>
      <xdr:col>24</xdr:col>
      <xdr:colOff>1114425</xdr:colOff>
      <xdr:row>1</xdr:row>
      <xdr:rowOff>0</xdr:rowOff>
    </xdr:to>
    <xdr:grpSp>
      <xdr:nvGrpSpPr>
        <xdr:cNvPr id="12" name="Group 1">
          <a:extLst>
            <a:ext uri="{FF2B5EF4-FFF2-40B4-BE49-F238E27FC236}">
              <a16:creationId xmlns:a16="http://schemas.microsoft.com/office/drawing/2014/main" id="{00000000-0008-0000-0900-00000C000000}"/>
            </a:ext>
          </a:extLst>
        </xdr:cNvPr>
        <xdr:cNvGrpSpPr>
          <a:grpSpLocks/>
        </xdr:cNvGrpSpPr>
      </xdr:nvGrpSpPr>
      <xdr:grpSpPr bwMode="auto">
        <a:xfrm>
          <a:off x="9525" y="0"/>
          <a:ext cx="25747436" cy="1265464"/>
          <a:chOff x="0" y="0"/>
          <a:chExt cx="14423" cy="1776"/>
        </a:xfrm>
      </xdr:grpSpPr>
      <xdr:sp macro="" textlink="">
        <xdr:nvSpPr>
          <xdr:cNvPr id="13" name="Rectangle 2">
            <a:extLst>
              <a:ext uri="{FF2B5EF4-FFF2-40B4-BE49-F238E27FC236}">
                <a16:creationId xmlns:a16="http://schemas.microsoft.com/office/drawing/2014/main" id="{00000000-0008-0000-0900-00000D000000}"/>
              </a:ext>
            </a:extLst>
          </xdr:cNvPr>
          <xdr:cNvSpPr>
            <a:spLocks noChangeArrowheads="1"/>
          </xdr:cNvSpPr>
        </xdr:nvSpPr>
        <xdr:spPr bwMode="auto">
          <a:xfrm>
            <a:off x="0" y="0"/>
            <a:ext cx="14423" cy="1775"/>
          </a:xfrm>
          <a:prstGeom prst="rect">
            <a:avLst/>
          </a:prstGeom>
          <a:noFill/>
          <a:ln w="936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fLocksText="0">
        <xdr:nvSpPr>
          <xdr:cNvPr id="20" name="Text Box 3">
            <a:extLst>
              <a:ext uri="{FF2B5EF4-FFF2-40B4-BE49-F238E27FC236}">
                <a16:creationId xmlns:a16="http://schemas.microsoft.com/office/drawing/2014/main" id="{00000000-0008-0000-0900-000014000000}"/>
              </a:ext>
            </a:extLst>
          </xdr:cNvPr>
          <xdr:cNvSpPr txBox="1">
            <a:spLocks noChangeArrowheads="1"/>
          </xdr:cNvSpPr>
        </xdr:nvSpPr>
        <xdr:spPr bwMode="auto">
          <a:xfrm>
            <a:off x="11004" y="0"/>
            <a:ext cx="3419" cy="881"/>
          </a:xfrm>
          <a:prstGeom prst="rect">
            <a:avLst/>
          </a:prstGeom>
          <a:solidFill>
            <a:srgbClr val="FFFFFF"/>
          </a:solidFill>
          <a:ln w="9360">
            <a:solidFill>
              <a:srgbClr val="000000"/>
            </a:solidFill>
            <a:miter lim="800000"/>
            <a:headEnd/>
            <a:tailEnd/>
          </a:ln>
          <a:effectLst/>
        </xdr:spPr>
        <xdr:txBody>
          <a:bodyPr vertOverflow="clip" wrap="square" lIns="36360" tIns="27360" rIns="36360" bIns="0" anchor="ctr" upright="1"/>
          <a:lstStyle/>
          <a:p>
            <a:pPr algn="ctr" rtl="0"/>
            <a:r>
              <a:rPr lang="es-CO" sz="900" b="0" i="0">
                <a:effectLst/>
                <a:latin typeface="Arial" pitchFamily="34" charset="0"/>
                <a:ea typeface="+mn-ea"/>
                <a:cs typeface="Arial" pitchFamily="34" charset="0"/>
              </a:rPr>
              <a:t>MEDE01.03.03.P001.F005 </a:t>
            </a:r>
            <a:endParaRPr lang="es-CO" sz="900">
              <a:effectLst/>
              <a:latin typeface="Arial" pitchFamily="34" charset="0"/>
              <a:cs typeface="Arial" pitchFamily="34" charset="0"/>
            </a:endParaRPr>
          </a:p>
        </xdr:txBody>
      </xdr:sp>
      <xdr:sp macro="" textlink="" fLocksText="0">
        <xdr:nvSpPr>
          <xdr:cNvPr id="22" name="Text Box 6">
            <a:extLst>
              <a:ext uri="{FF2B5EF4-FFF2-40B4-BE49-F238E27FC236}">
                <a16:creationId xmlns:a16="http://schemas.microsoft.com/office/drawing/2014/main" id="{00000000-0008-0000-0900-000016000000}"/>
              </a:ext>
            </a:extLst>
          </xdr:cNvPr>
          <xdr:cNvSpPr txBox="1">
            <a:spLocks noChangeArrowheads="1"/>
          </xdr:cNvSpPr>
        </xdr:nvSpPr>
        <xdr:spPr bwMode="auto">
          <a:xfrm>
            <a:off x="12756" y="895"/>
            <a:ext cx="1667"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rtl="0"/>
            <a:r>
              <a:rPr lang="es-CO" sz="800" b="0" i="0">
                <a:solidFill>
                  <a:schemeClr val="tx1"/>
                </a:solidFill>
                <a:latin typeface="Arial" pitchFamily="34" charset="0"/>
                <a:ea typeface="+mn-ea"/>
                <a:cs typeface="Arial" pitchFamily="34" charset="0"/>
              </a:rPr>
              <a:t>011</a:t>
            </a:r>
            <a:endParaRPr lang="es-CO" sz="800">
              <a:solidFill>
                <a:schemeClr val="tx1"/>
              </a:solidFill>
              <a:latin typeface="Arial" pitchFamily="34" charset="0"/>
              <a:cs typeface="Arial" pitchFamily="34" charset="0"/>
            </a:endParaRPr>
          </a:p>
        </xdr:txBody>
      </xdr:sp>
      <xdr:sp macro="" textlink="" fLocksText="0">
        <xdr:nvSpPr>
          <xdr:cNvPr id="23" name="Text Box 7">
            <a:extLst>
              <a:ext uri="{FF2B5EF4-FFF2-40B4-BE49-F238E27FC236}">
                <a16:creationId xmlns:a16="http://schemas.microsoft.com/office/drawing/2014/main" id="{00000000-0008-0000-0900-000017000000}"/>
              </a:ext>
            </a:extLst>
          </xdr:cNvPr>
          <xdr:cNvSpPr txBox="1">
            <a:spLocks noChangeArrowheads="1"/>
          </xdr:cNvSpPr>
        </xdr:nvSpPr>
        <xdr:spPr bwMode="auto">
          <a:xfrm>
            <a:off x="11004" y="895"/>
            <a:ext cx="1752" cy="881"/>
          </a:xfrm>
          <a:prstGeom prst="rect">
            <a:avLst/>
          </a:prstGeom>
          <a:solidFill>
            <a:srgbClr val="FFFFFF"/>
          </a:solidFill>
          <a:ln w="9360">
            <a:solidFill>
              <a:srgbClr val="000000"/>
            </a:solidFill>
            <a:miter lim="800000"/>
            <a:headEnd/>
            <a:tailEnd/>
          </a:ln>
          <a:effectLst/>
        </xdr:spPr>
        <xdr:txBody>
          <a:bodyPr vertOverflow="clip" wrap="square" lIns="27360" tIns="22680" rIns="27360" bIns="22680" anchor="ctr" upright="1"/>
          <a:lstStyle/>
          <a:p>
            <a:pPr algn="ctr"/>
            <a:r>
              <a:rPr lang="es-CO" sz="800" b="0" i="0">
                <a:effectLst/>
                <a:latin typeface="Arial" panose="020B0604020202020204" pitchFamily="34" charset="0"/>
                <a:ea typeface="+mn-ea"/>
                <a:cs typeface="Arial" panose="020B0604020202020204" pitchFamily="34" charset="0"/>
              </a:rPr>
              <a:t>VERSIÓN</a:t>
            </a:r>
            <a:endParaRPr lang="en-US" sz="800">
              <a:effectLst/>
              <a:latin typeface="Arial" panose="020B0604020202020204" pitchFamily="34" charset="0"/>
              <a:cs typeface="Arial" panose="020B0604020202020204" pitchFamily="34" charset="0"/>
            </a:endParaRPr>
          </a:p>
        </xdr:txBody>
      </xdr:sp>
      <xdr:sp macro="" textlink="" fLocksText="0">
        <xdr:nvSpPr>
          <xdr:cNvPr id="24" name="Text Box 8">
            <a:extLst>
              <a:ext uri="{FF2B5EF4-FFF2-40B4-BE49-F238E27FC236}">
                <a16:creationId xmlns:a16="http://schemas.microsoft.com/office/drawing/2014/main" id="{00000000-0008-0000-0900-000018000000}"/>
              </a:ext>
            </a:extLst>
          </xdr:cNvPr>
          <xdr:cNvSpPr txBox="1">
            <a:spLocks noChangeArrowheads="1"/>
          </xdr:cNvSpPr>
        </xdr:nvSpPr>
        <xdr:spPr bwMode="auto">
          <a:xfrm>
            <a:off x="1778" y="0"/>
            <a:ext cx="9226" cy="1776"/>
          </a:xfrm>
          <a:prstGeom prst="rect">
            <a:avLst/>
          </a:prstGeom>
          <a:solidFill>
            <a:srgbClr val="FFFFFF"/>
          </a:solidFill>
          <a:ln w="9360">
            <a:solidFill>
              <a:srgbClr val="000000"/>
            </a:solidFill>
            <a:miter lim="800000"/>
            <a:headEnd/>
            <a:tailEnd/>
          </a:ln>
          <a:effectLst/>
        </xdr:spPr>
        <xdr:txBody>
          <a:bodyPr vertOverflow="clip" wrap="square" lIns="36360" tIns="22680" rIns="36360" bIns="22680" anchor="ctr" upright="1"/>
          <a:lstStyle/>
          <a:p>
            <a:pPr algn="ctr" rtl="1"/>
            <a:r>
              <a:rPr lang="en-US" sz="1100" b="0" i="0">
                <a:effectLst/>
                <a:latin typeface="Arial" panose="020B0604020202020204" pitchFamily="34" charset="0"/>
                <a:ea typeface="+mn-ea"/>
                <a:cs typeface="Arial" panose="020B0604020202020204" pitchFamily="34" charset="0"/>
              </a:rPr>
              <a:t>MODELO INTEGRADO DE PLANEACIÓN Y GESTIÓN</a:t>
            </a:r>
            <a:endParaRPr lang="es-CO" sz="1000">
              <a:effectLst/>
              <a:latin typeface="Arial" panose="020B0604020202020204" pitchFamily="34" charset="0"/>
              <a:cs typeface="Arial" panose="020B0604020202020204" pitchFamily="34" charset="0"/>
            </a:endParaRPr>
          </a:p>
          <a:p>
            <a:pPr algn="ctr" rtl="0"/>
            <a:r>
              <a:rPr lang="en-US" sz="1100">
                <a:effectLst/>
                <a:latin typeface="Arial" panose="020B0604020202020204" pitchFamily="34" charset="0"/>
                <a:ea typeface="+mn-ea"/>
                <a:cs typeface="Arial" panose="020B0604020202020204" pitchFamily="34" charset="0"/>
              </a:rPr>
              <a:t>(MIPG) </a:t>
            </a:r>
            <a:endParaRPr lang="es-CO" sz="1000">
              <a:effectLst/>
              <a:latin typeface="Arial" panose="020B0604020202020204" pitchFamily="34" charset="0"/>
              <a:cs typeface="Arial" panose="020B0604020202020204" pitchFamily="34" charset="0"/>
            </a:endParaRPr>
          </a:p>
          <a:p>
            <a:pPr algn="ctr"/>
            <a:r>
              <a:rPr lang="es-ES" sz="1000">
                <a:effectLst/>
                <a:latin typeface="Arial" pitchFamily="34" charset="0"/>
                <a:ea typeface="+mn-ea"/>
                <a:cs typeface="Arial" pitchFamily="34" charset="0"/>
              </a:rPr>
              <a:t> </a:t>
            </a:r>
          </a:p>
          <a:p>
            <a:pPr algn="ctr"/>
            <a:r>
              <a:rPr lang="es-ES" sz="1200" b="1">
                <a:effectLst/>
                <a:latin typeface="Arial" pitchFamily="34" charset="0"/>
                <a:ea typeface="+mn-ea"/>
                <a:cs typeface="Arial" pitchFamily="34" charset="0"/>
              </a:rPr>
              <a:t>SEGUIMIENTO</a:t>
            </a:r>
            <a:r>
              <a:rPr lang="es-ES" sz="1200" b="1" baseline="0">
                <a:effectLst/>
                <a:latin typeface="Arial" pitchFamily="34" charset="0"/>
                <a:ea typeface="+mn-ea"/>
                <a:cs typeface="Arial" pitchFamily="34" charset="0"/>
              </a:rPr>
              <a:t> DEL PLAN DE ACCIÓN</a:t>
            </a:r>
            <a:endParaRPr lang="es-CO" sz="1200">
              <a:effectLst/>
              <a:latin typeface="Arial" pitchFamily="34" charset="0"/>
              <a:cs typeface="Arial" pitchFamily="34" charset="0"/>
            </a:endParaRPr>
          </a:p>
          <a:p>
            <a:pPr algn="ctr" rtl="0" eaLnBrk="1" fontAlgn="auto" latinLnBrk="0" hangingPunct="1"/>
            <a:r>
              <a:rPr lang="es-CO" sz="1200" b="0">
                <a:effectLst/>
                <a:latin typeface="Arial" pitchFamily="34" charset="0"/>
                <a:ea typeface="+mn-ea"/>
                <a:cs typeface="Arial" pitchFamily="34" charset="0"/>
              </a:rPr>
              <a:t>RELACIÓN DE LOS PROYECTOS DE COMPETENCIA DEL </a:t>
            </a:r>
            <a:r>
              <a:rPr lang="es-CO" sz="1200" b="0">
                <a:solidFill>
                  <a:sysClr val="windowText" lastClr="000000"/>
                </a:solidFill>
                <a:effectLst/>
                <a:latin typeface="Arial" pitchFamily="34" charset="0"/>
                <a:ea typeface="+mn-ea"/>
                <a:cs typeface="Arial" pitchFamily="34" charset="0"/>
              </a:rPr>
              <a:t>ORGANISMO</a:t>
            </a:r>
            <a:r>
              <a:rPr lang="es-CO" sz="1200" b="0">
                <a:effectLst/>
                <a:latin typeface="Arial" pitchFamily="34" charset="0"/>
                <a:ea typeface="+mn-ea"/>
                <a:cs typeface="Arial" pitchFamily="34" charset="0"/>
              </a:rPr>
              <a:t>  FRENTE AL PLAN DE DESARROLLO</a:t>
            </a:r>
            <a:endParaRPr lang="es-CO" sz="1200" b="0">
              <a:effectLst/>
              <a:latin typeface="Arial" pitchFamily="34" charset="0"/>
              <a:cs typeface="Arial" pitchFamily="34" charset="0"/>
            </a:endParaRPr>
          </a:p>
          <a:p>
            <a:pPr algn="ctr" rtl="0"/>
            <a:r>
              <a:rPr lang="es-ES" sz="1200" b="1" i="0">
                <a:effectLst/>
                <a:latin typeface="Arial" pitchFamily="34" charset="0"/>
                <a:ea typeface="+mn-ea"/>
                <a:cs typeface="Arial" pitchFamily="34" charset="0"/>
              </a:rPr>
              <a:t>CUADRO 1S</a:t>
            </a:r>
            <a:endParaRPr lang="es-CO" sz="1200">
              <a:effectLst/>
              <a:latin typeface="Arial" pitchFamily="34" charset="0"/>
              <a:cs typeface="Arial" pitchFamily="34" charset="0"/>
            </a:endParaRPr>
          </a:p>
        </xdr:txBody>
      </xdr:sp>
    </xdr:grpSp>
    <xdr:clientData/>
  </xdr:twoCellAnchor>
  <xdr:twoCellAnchor>
    <xdr:from>
      <xdr:col>1</xdr:col>
      <xdr:colOff>76200</xdr:colOff>
      <xdr:row>0</xdr:row>
      <xdr:rowOff>123825</xdr:rowOff>
    </xdr:from>
    <xdr:to>
      <xdr:col>2</xdr:col>
      <xdr:colOff>428625</xdr:colOff>
      <xdr:row>0</xdr:row>
      <xdr:rowOff>952500</xdr:rowOff>
    </xdr:to>
    <xdr:pic>
      <xdr:nvPicPr>
        <xdr:cNvPr id="25" name="Picture 250" descr="escudo">
          <a:extLst>
            <a:ext uri="{FF2B5EF4-FFF2-40B4-BE49-F238E27FC236}">
              <a16:creationId xmlns:a16="http://schemas.microsoft.com/office/drawing/2014/main" id="{00000000-0008-0000-0900-000019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975" y="123825"/>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514350</xdr:colOff>
      <xdr:row>0</xdr:row>
      <xdr:rowOff>966498</xdr:rowOff>
    </xdr:from>
    <xdr:to>
      <xdr:col>3</xdr:col>
      <xdr:colOff>266700</xdr:colOff>
      <xdr:row>0</xdr:row>
      <xdr:rowOff>1171575</xdr:rowOff>
    </xdr:to>
    <xdr:sp macro="" textlink="">
      <xdr:nvSpPr>
        <xdr:cNvPr id="26" name="Text Box 49">
          <a:extLst>
            <a:ext uri="{FF2B5EF4-FFF2-40B4-BE49-F238E27FC236}">
              <a16:creationId xmlns:a16="http://schemas.microsoft.com/office/drawing/2014/main" id="{00000000-0008-0000-0900-00001A000000}"/>
            </a:ext>
          </a:extLst>
        </xdr:cNvPr>
        <xdr:cNvSpPr txBox="1">
          <a:spLocks noChangeArrowheads="1"/>
        </xdr:cNvSpPr>
      </xdr:nvSpPr>
      <xdr:spPr bwMode="auto">
        <a:xfrm>
          <a:off x="514350" y="966498"/>
          <a:ext cx="1914525" cy="20507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lnSpc>
              <a:spcPts val="700"/>
            </a:lnSpc>
          </a:pPr>
          <a:endParaRPr lang="es-CO" sz="700" b="0" i="0">
            <a:latin typeface="Arial" pitchFamily="34" charset="0"/>
            <a:ea typeface="+mn-ea"/>
            <a:cs typeface="Arial" pitchFamily="34" charset="0"/>
          </a:endParaRPr>
        </a:p>
        <a:p>
          <a:pPr algn="ctr" rtl="0">
            <a:lnSpc>
              <a:spcPts val="600"/>
            </a:lnSpc>
          </a:pPr>
          <a:r>
            <a:rPr lang="es-CO" sz="700" b="0" i="0">
              <a:latin typeface="Arial" pitchFamily="34" charset="0"/>
              <a:ea typeface="+mn-ea"/>
              <a:cs typeface="Arial" pitchFamily="34" charset="0"/>
            </a:rPr>
            <a:t>DIRECCIONAMIENTO ESTRATEGICO</a:t>
          </a:r>
        </a:p>
        <a:p>
          <a:pPr algn="ctr" rtl="0">
            <a:lnSpc>
              <a:spcPts val="600"/>
            </a:lnSpc>
          </a:pPr>
          <a:r>
            <a:rPr lang="es-CO" sz="700" b="0" i="0">
              <a:latin typeface="Arial" pitchFamily="34" charset="0"/>
              <a:ea typeface="+mn-ea"/>
              <a:cs typeface="Arial" pitchFamily="34" charset="0"/>
            </a:rPr>
            <a:t>PLANEACION</a:t>
          </a:r>
          <a:r>
            <a:rPr lang="es-CO" sz="700" b="0" i="0" baseline="0">
              <a:latin typeface="Arial" pitchFamily="34" charset="0"/>
              <a:ea typeface="+mn-ea"/>
              <a:cs typeface="Arial" pitchFamily="34" charset="0"/>
            </a:rPr>
            <a:t> ECONOMICA Y SOCIAL</a:t>
          </a:r>
          <a:endParaRPr lang="es-CO" sz="700">
            <a:latin typeface="Arial" pitchFamily="34" charset="0"/>
            <a:cs typeface="Arial"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Alexandra Rodriguez" id="{A3C210A4-CE47-4319-B892-97B8C6D19959}" userId="a52753138a9c780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80" dT="2024-07-24T22:03:26.77" personId="{A3C210A4-CE47-4319-B892-97B8C6D19959}" id="{D39CF525-3AC9-427D-B672-39E1741C7401}">
    <text>El porcentaje de avance no puede ser mayor a la ponderación asignada en la columna "L"</text>
  </threadedComment>
  <threadedComment ref="N83" dT="2024-07-30T14:39:58.91" personId="{A3C210A4-CE47-4319-B892-97B8C6D19959}" id="{40B25504-124D-43B7-BC1F-CE7C8714668F}">
    <text>A partir del porcentaje de avance reportado, se entiende que el producto ha finalizado y la meta propuesta se ha completado</text>
  </threadedComment>
  <threadedComment ref="X159" dT="2024-07-30T14:43:34.06" personId="{A3C210A4-CE47-4319-B892-97B8C6D19959}" id="{A2A900C0-48A9-4E8F-ACA8-8622C73E1781}">
    <text xml:space="preserve">A partir que el producto presento asignación de presupuesto, se debe dar una explicación de los avances alcanzados </text>
  </threadedComment>
  <threadedComment ref="M176" dT="2024-07-30T14:45:50.56" personId="{A3C210A4-CE47-4319-B892-97B8C6D19959}" id="{D35D3563-56AA-426C-B16E-1491BB696099}">
    <text>Los valores asignados en estas casillas deben cifras completas a causa que no es posible medir el 0,5 de una acción, para eso se pone un % de avance de ellas en la columna "N" y se describe en la columna "X"</text>
  </threadedComment>
  <threadedComment ref="X180" dT="2024-07-30T14:54:56.96" personId="{A3C210A4-CE47-4319-B892-97B8C6D19959}" id="{5757A375-7DE2-42D1-95C5-0C87297E2088}">
    <text>Dentro del comentario se reporta la información a marzo y la fecha de corte para este reporte es 30 de junio</text>
  </threadedComment>
  <threadedComment ref="M181" dT="2024-07-30T14:45:50.56" personId="{A3C210A4-CE47-4319-B892-97B8C6D19959}" id="{C0037117-5470-450C-8C98-C2BB48593FF0}">
    <text>Como el producto no cuenta con presupuesto ejecutado, no es posible reportar avance de las actividades desarrolladas bajo este rubro</text>
  </threadedComment>
  <threadedComment ref="X181" dT="2024-07-24T21:34:35.73" personId="{A3C210A4-CE47-4319-B892-97B8C6D19959}" id="{EA86CA14-C7BB-4A3F-A8D4-457DE641AD96}">
    <text>A causa que la actividad no cuenta con presupuesto ejecutado, se entiende que el producto no ha iniciado y no se debe presentar avances en ella.</text>
  </threadedComment>
  <threadedComment ref="M184" dT="2024-07-30T14:45:50.56" personId="{A3C210A4-CE47-4319-B892-97B8C6D19959}" id="{F976749F-E0F3-4395-BC5D-809B6E9758BA}">
    <text>Los valores asignados en estas casillas deben cifras completas a causa que no es posible medir el 0,5 de una acción, para eso se pone un % de avance de ellas en la columna "N" y se describe en la columna "X"</text>
  </threadedComment>
  <threadedComment ref="X185" dT="2024-07-30T14:52:05.97" personId="{A3C210A4-CE47-4319-B892-97B8C6D19959}" id="{7969ED0F-4C5D-4551-8C88-A41388510691}">
    <text>Dentro del comentario se reporta la información a marzo y la fecha de corte para este reporte es 30 de junio</text>
  </threadedComment>
  <threadedComment ref="M196" dT="2024-07-30T14:45:50.56" personId="{A3C210A4-CE47-4319-B892-97B8C6D19959}" id="{A54305D6-CCAD-4B6F-B765-4914DFF48D33}">
    <text>Los valores asignados en estas casillas deben cifras completas a causa que no es posible medir el 0,5 de una acción, para eso se pone un % de avance de ellas en la columna "N" y se describe en la columna "X"</text>
  </threadedComment>
  <threadedComment ref="M200" dT="2024-07-30T14:45:50.56" personId="{A3C210A4-CE47-4319-B892-97B8C6D19959}" id="{1A7B2DEE-0751-4810-AB85-64664CC41207}">
    <text>Los valores asignados en estas casillas deben cifras completas a causa que no es posible medir el 0,5 de una acción, para eso se pone un % de avance de ellas en la columna "N" y se describe en la columna "X"</text>
  </threadedComment>
</ThreadedComments>
</file>

<file path=xl/threadedComments/threadedComment2.xml><?xml version="1.0" encoding="utf-8"?>
<ThreadedComments xmlns="http://schemas.microsoft.com/office/spreadsheetml/2018/threadedcomments" xmlns:x="http://schemas.openxmlformats.org/spreadsheetml/2006/main">
  <threadedComment ref="X36" dT="2024-07-19T18:38:43.13" personId="{A3C210A4-CE47-4319-B892-97B8C6D19959}" id="{3292DA56-6EA5-40C3-BC21-0C87C35E9975}">
    <text>Especificar como el apoyo técnico contribuye a la actividad, es la misma explicación de la actividad anterior</text>
  </threadedComment>
  <threadedComment ref="X87" dT="2024-07-22T15:42:13.15" personId="{A3C210A4-CE47-4319-B892-97B8C6D19959}" id="{880265DD-49DF-438C-B957-C3421CD4CB12}">
    <text>Explicar como la estrategia de CUIDARTE genera los 3 servicios de apoyo, o si a la fecha se ha generado es 1</text>
  </threadedComment>
  <threadedComment ref="N96" dT="2024-07-22T15:06:06.03" personId="{A3C210A4-CE47-4319-B892-97B8C6D19959}" id="{2C8224DD-374B-4BCB-BA94-78A66601A862}">
    <text>A partir de la explicación se observa un avance en la actividad pero no se ve reflejado en el porcentaje de avance</text>
  </threadedComment>
  <threadedComment ref="N101" dT="2024-07-22T15:02:45.24" personId="{A3C210A4-CE47-4319-B892-97B8C6D19959}" id="{8164B19A-C647-40F0-920C-2948AD90FA30}">
    <text>A partir de la explicación se observa un avance en la actividad pero no se ve reflejado en el porcentaje de avance</text>
  </threadedComment>
  <threadedComment ref="X105" dT="2024-07-19T18:25:14.95" personId="{A3C210A4-CE47-4319-B892-97B8C6D19959}" id="{8820D37B-6460-4896-8443-E9D5B8F69EF0}">
    <text>A causa que la actividad no cuenta con presupuesto ejecutado, no es posible presentar avances en ella</text>
  </threadedComment>
  <threadedComment ref="X108" dT="2024-07-19T18:25:53.96" personId="{A3C210A4-CE47-4319-B892-97B8C6D19959}" id="{20842970-A374-496B-A080-053D7C69149F}">
    <text>A causa que la actividad no cuenta con presupuesto ejecutado, no es posible presentar avances en ella</text>
  </threadedComment>
  <threadedComment ref="N110" dT="2024-07-19T18:40:25.16" personId="{A3C210A4-CE47-4319-B892-97B8C6D19959}" id="{6A10F590-444C-45D8-9A9C-96BA2F490464}">
    <text>A partir de la explicación se observa un avance en la actividad pero no se ve reflejado en el porcentaje de avance</text>
  </threadedComment>
  <threadedComment ref="N111" dT="2024-07-19T18:36:41.17" personId="{A3C210A4-CE47-4319-B892-97B8C6D19959}" id="{DAAF9C96-2C6A-414E-AF5E-7C3518799DEF}">
    <text>A partir de la explicación se observa un avance en la actividad pero no se ve reflejado en el porcentaje de avance</text>
  </threadedComment>
  <threadedComment ref="X113" dT="2024-07-19T18:27:36.79" personId="{A3C210A4-CE47-4319-B892-97B8C6D19959}" id="{55CCEF23-BF55-4F34-B101-11711C96FFDB}">
    <text>A causa que la actividad no cuenta con presupuesto ejecutado, no es posible presentar avances en ella</text>
  </threadedComment>
  <threadedComment ref="X115" dT="2024-07-19T18:28:14.03" personId="{A3C210A4-CE47-4319-B892-97B8C6D19959}" id="{E45F2BF3-E105-4650-9DCB-5B5CC40E8298}">
    <text>A causa que la actividad no cuenta con presupuesto ejecutado, no es posible presentar avances en ella</text>
  </threadedComment>
  <threadedComment ref="X117" dT="2024-07-19T18:28:18.11" personId="{A3C210A4-CE47-4319-B892-97B8C6D19959}" id="{0E8D28F8-7252-4DFF-BB38-17773DAE6D19}">
    <text>A causa que la actividad no cuenta con presupuesto ejecutado, no es posible presentar avances en ella</text>
  </threadedComment>
  <threadedComment ref="X119" dT="2024-07-19T18:28:22.27" personId="{A3C210A4-CE47-4319-B892-97B8C6D19959}" id="{A0168620-988F-4276-B15D-6E4D807CB76C}">
    <text>A causa que la actividad no cuenta con presupuesto ejecutado, no es posible presentar avances en ella</text>
  </threadedComment>
  <threadedComment ref="X121" dT="2024-07-19T18:28:26.27" personId="{A3C210A4-CE47-4319-B892-97B8C6D19959}" id="{A8D51960-8D74-4CD8-94B5-89D2B9EF0583}">
    <text>A causa que la actividad no cuenta con presupuesto ejecutado, no es posible presentar avances en ella</text>
  </threadedComment>
  <threadedComment ref="X123" dT="2024-07-19T18:28:31.18" personId="{A3C210A4-CE47-4319-B892-97B8C6D19959}" id="{238B539A-718F-4669-9774-6D7EC17BA1A5}">
    <text>A causa que la actividad no cuenta con presupuesto ejecutado, no es posible presentar avances en ella</text>
  </threadedComment>
  <threadedComment ref="X125" dT="2024-07-19T18:28:35.57" personId="{A3C210A4-CE47-4319-B892-97B8C6D19959}" id="{2CC00279-9BAF-4E5E-846B-16E8927E9D02}">
    <text>A causa que la actividad no cuenta con presupuesto ejecutado, no es posible presentar avances en ella</text>
  </threadedComment>
  <threadedComment ref="X127" dT="2024-07-19T18:28:40.26" personId="{A3C210A4-CE47-4319-B892-97B8C6D19959}" id="{5FC932DD-5885-4FBC-8CDC-16468982CD50}">
    <text>A causa que la actividad no cuenta con presupuesto ejecutado, no es posible presentar avances en ella</text>
  </threadedComment>
  <threadedComment ref="X129" dT="2024-07-19T18:28:43.50" personId="{A3C210A4-CE47-4319-B892-97B8C6D19959}" id="{F367C8B8-BDEC-44A0-BF8B-50BD9313DE96}">
    <text>A causa que la actividad no cuenta con presupuesto ejecutado, no es posible presentar avances en ella</text>
  </threadedComment>
  <threadedComment ref="X131" dT="2024-07-19T18:28:47.50" personId="{A3C210A4-CE47-4319-B892-97B8C6D19959}" id="{259E18F3-77FE-4467-B5DB-F8E5672D7825}">
    <text>A causa que la actividad no cuenta con presupuesto ejecutado, no es posible presentar avances en ella</text>
  </threadedComment>
  <threadedComment ref="X133" dT="2024-07-19T18:28:04.24" personId="{A3C210A4-CE47-4319-B892-97B8C6D19959}" id="{E051CA2C-9DC8-4073-AB83-CBA9149757FD}">
    <text>A causa que la actividad no cuenta con presupuesto ejecutado, no es posible presentar avances en ella</text>
  </threadedComment>
  <threadedComment ref="X135" dT="2024-07-19T18:40:00.94" personId="{A3C210A4-CE47-4319-B892-97B8C6D19959}" id="{9B4EFFE3-B1EC-4ABB-B5D7-02F7B2106050}">
    <text>Revisar y validar la información completa de la actividad</text>
  </threadedComment>
</ThreadedComments>
</file>

<file path=xl/threadedComments/threadedComment3.xml><?xml version="1.0" encoding="utf-8"?>
<ThreadedComments xmlns="http://schemas.microsoft.com/office/spreadsheetml/2018/threadedcomments" xmlns:x="http://schemas.openxmlformats.org/spreadsheetml/2006/main">
  <threadedComment ref="X12" dT="2024-07-25T15:43:16.86" personId="{A3C210A4-CE47-4319-B892-97B8C6D19959}" id="{08091B97-F3EE-4D9A-8494-D416C126654A}">
    <text>En la descripción se dice el avance en la gestión hasta el mes de marzo</text>
  </threadedComment>
  <threadedComment ref="X22" dT="2024-07-25T15:53:08.94" personId="{A3C210A4-CE47-4319-B892-97B8C6D19959}" id="{FBF634DD-9532-4973-A220-6C14CB170CD0}">
    <text>A causa que la actividad no cuenta con presupuesto ejecutado, se entiende que el producto no ha iniciado y no se debe presentar avances en ella.</text>
  </threadedComment>
  <threadedComment ref="X23" dT="2024-07-25T15:53:12.38" personId="{A3C210A4-CE47-4319-B892-97B8C6D19959}" id="{8BE7B43C-3196-45E7-A18A-60894B415F0D}">
    <text>A causa que la actividad no cuenta con presupuesto ejecutado, se entiende que el producto no ha iniciado y no se debe presentar avances en ella.</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9.xml"/><Relationship Id="rId1" Type="http://schemas.openxmlformats.org/officeDocument/2006/relationships/printerSettings" Target="../printerSettings/printerSettings19.bin"/><Relationship Id="rId4"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0.xml"/><Relationship Id="rId1" Type="http://schemas.openxmlformats.org/officeDocument/2006/relationships/printerSettings" Target="../printerSettings/printerSettings20.bin"/><Relationship Id="rId5" Type="http://schemas.microsoft.com/office/2017/10/relationships/threadedComment" Target="../threadedComments/threadedComment2.xml"/><Relationship Id="rId4" Type="http://schemas.openxmlformats.org/officeDocument/2006/relationships/comments" Target="../comments17.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3.xml"/><Relationship Id="rId1" Type="http://schemas.openxmlformats.org/officeDocument/2006/relationships/printerSettings" Target="../printerSettings/printerSettings23.bin"/><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5.xml"/><Relationship Id="rId1" Type="http://schemas.openxmlformats.org/officeDocument/2006/relationships/printerSettings" Target="../printerSettings/printerSettings25.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6.xml"/><Relationship Id="rId1" Type="http://schemas.openxmlformats.org/officeDocument/2006/relationships/printerSettings" Target="../printerSettings/printerSettings26.bin"/><Relationship Id="rId4" Type="http://schemas.openxmlformats.org/officeDocument/2006/relationships/comments" Target="../comments20.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7.xml"/><Relationship Id="rId1" Type="http://schemas.openxmlformats.org/officeDocument/2006/relationships/printerSettings" Target="../printerSettings/printerSettings27.bin"/><Relationship Id="rId5" Type="http://schemas.microsoft.com/office/2017/10/relationships/threadedComment" Target="../threadedComments/threadedComment3.xml"/><Relationship Id="rId4" Type="http://schemas.openxmlformats.org/officeDocument/2006/relationships/comments" Target="../comments21.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1.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5"/>
  <sheetViews>
    <sheetView showGridLines="0" tabSelected="1" zoomScaleNormal="100" workbookViewId="0">
      <selection activeCell="G4" sqref="G4"/>
    </sheetView>
  </sheetViews>
  <sheetFormatPr baseColWidth="10" defaultColWidth="9.7109375" defaultRowHeight="12.75"/>
  <cols>
    <col min="1" max="1" width="5.7109375" style="6" customWidth="1"/>
    <col min="2" max="2" width="34.28515625" style="6" customWidth="1"/>
    <col min="3" max="3" width="4.5703125" style="6" customWidth="1"/>
    <col min="4" max="4" width="5.7109375" style="6" customWidth="1"/>
    <col min="5" max="5" width="8" style="6" customWidth="1"/>
    <col min="6" max="6" width="12.140625" style="6" customWidth="1"/>
    <col min="7" max="7" width="11.85546875" style="6" customWidth="1"/>
    <col min="8" max="9" width="12" style="6" bestFit="1" customWidth="1"/>
    <col min="10" max="10" width="7.140625" style="6" customWidth="1"/>
    <col min="11" max="11" width="6.140625" style="6" customWidth="1"/>
    <col min="12" max="12" width="4" style="6" customWidth="1"/>
    <col min="13" max="16384" width="9.7109375" style="6"/>
  </cols>
  <sheetData>
    <row r="1" spans="1:12" ht="16.5">
      <c r="A1" s="43" t="s">
        <v>90</v>
      </c>
      <c r="B1" s="5"/>
      <c r="C1" s="4"/>
      <c r="D1" s="4"/>
      <c r="E1" s="4"/>
      <c r="F1" s="5"/>
      <c r="G1" s="5"/>
      <c r="H1" s="5"/>
      <c r="I1" s="5"/>
      <c r="J1" s="5"/>
      <c r="K1" s="5"/>
    </row>
    <row r="2" spans="1:12">
      <c r="A2" s="4" t="s">
        <v>18</v>
      </c>
      <c r="B2" s="5"/>
      <c r="C2" s="4"/>
      <c r="D2" s="4"/>
      <c r="E2" s="4"/>
      <c r="F2" s="5"/>
      <c r="G2" s="5"/>
      <c r="H2" s="5"/>
      <c r="I2" s="5"/>
      <c r="J2" s="5"/>
      <c r="K2" s="5"/>
    </row>
    <row r="3" spans="1:12" ht="5.25" customHeight="1">
      <c r="A3" s="4"/>
      <c r="B3" s="5"/>
      <c r="C3" s="4"/>
      <c r="D3" s="4"/>
      <c r="E3" s="4"/>
      <c r="F3" s="5"/>
      <c r="G3" s="5"/>
      <c r="H3" s="5"/>
      <c r="I3" s="5"/>
      <c r="J3" s="5"/>
      <c r="K3" s="5"/>
    </row>
    <row r="4" spans="1:12">
      <c r="A4" s="5" t="s">
        <v>71</v>
      </c>
      <c r="B4" s="5"/>
      <c r="C4" s="4"/>
      <c r="D4" s="4"/>
      <c r="E4" s="4"/>
      <c r="F4" s="5"/>
      <c r="G4" s="5"/>
      <c r="H4" s="5"/>
      <c r="I4" s="5"/>
      <c r="J4" s="5"/>
      <c r="K4" s="5"/>
    </row>
    <row r="5" spans="1:12">
      <c r="A5" s="7" t="s">
        <v>4704</v>
      </c>
      <c r="B5" s="5"/>
      <c r="C5" s="4"/>
      <c r="D5" s="4"/>
      <c r="E5" s="4"/>
      <c r="F5" s="5"/>
      <c r="G5" s="5"/>
      <c r="H5" s="5"/>
      <c r="I5" s="5"/>
      <c r="J5" s="5"/>
      <c r="K5" s="5"/>
    </row>
    <row r="6" spans="1:12" ht="9" customHeight="1">
      <c r="A6" s="5"/>
      <c r="B6" s="4"/>
      <c r="C6" s="4"/>
      <c r="D6" s="4"/>
      <c r="E6" s="4"/>
      <c r="F6" s="5"/>
      <c r="G6" s="5"/>
      <c r="H6" s="5"/>
      <c r="I6" s="5"/>
      <c r="J6" s="5"/>
      <c r="K6" s="8" t="s">
        <v>44</v>
      </c>
    </row>
    <row r="7" spans="1:12" ht="18.75" customHeight="1">
      <c r="A7" s="2818" t="s">
        <v>34</v>
      </c>
      <c r="B7" s="2820" t="s">
        <v>70</v>
      </c>
      <c r="C7" s="2820" t="s">
        <v>36</v>
      </c>
      <c r="D7" s="2820"/>
      <c r="E7" s="2821" t="s">
        <v>37</v>
      </c>
      <c r="F7" s="2820" t="s">
        <v>51</v>
      </c>
      <c r="G7" s="2820"/>
      <c r="H7" s="2820"/>
      <c r="I7" s="2820"/>
      <c r="J7" s="2820"/>
      <c r="K7" s="2820"/>
    </row>
    <row r="8" spans="1:12" ht="27.6" customHeight="1">
      <c r="A8" s="2819"/>
      <c r="B8" s="2820"/>
      <c r="C8" s="23" t="s">
        <v>45</v>
      </c>
      <c r="D8" s="23" t="s">
        <v>46</v>
      </c>
      <c r="E8" s="2822"/>
      <c r="F8" s="1" t="s">
        <v>19</v>
      </c>
      <c r="G8" s="1" t="s">
        <v>20</v>
      </c>
      <c r="H8" s="1" t="s">
        <v>21</v>
      </c>
      <c r="I8" s="1" t="s">
        <v>38</v>
      </c>
      <c r="J8" s="1" t="s">
        <v>22</v>
      </c>
      <c r="K8" s="1" t="s">
        <v>39</v>
      </c>
    </row>
    <row r="9" spans="1:12" ht="7.5" customHeight="1">
      <c r="A9" s="5"/>
      <c r="B9" s="9"/>
      <c r="C9" s="9"/>
      <c r="D9" s="9"/>
      <c r="E9" s="9"/>
      <c r="F9" s="9"/>
      <c r="G9" s="9"/>
      <c r="H9" s="9"/>
      <c r="I9" s="9"/>
      <c r="J9" s="10"/>
      <c r="K9" s="5"/>
    </row>
    <row r="10" spans="1:12" ht="12" customHeight="1">
      <c r="A10" s="32">
        <v>4112</v>
      </c>
      <c r="B10" s="3447" t="s">
        <v>95</v>
      </c>
      <c r="C10" s="124">
        <f>'4112 Gobierno'!C46</f>
        <v>8</v>
      </c>
      <c r="D10" s="124">
        <f>'4112 Gobierno'!C46-'4112 Gobierno'!G46</f>
        <v>7</v>
      </c>
      <c r="E10" s="125">
        <f>'4112 Gobierno'!O46</f>
        <v>0.2284285714285714</v>
      </c>
      <c r="F10" s="126">
        <v>10000000000</v>
      </c>
      <c r="G10" s="126">
        <v>20065976000</v>
      </c>
      <c r="H10" s="126">
        <v>12477334995</v>
      </c>
      <c r="I10" s="126">
        <v>1587987000</v>
      </c>
      <c r="J10" s="125">
        <f t="shared" ref="J10:J36" si="0">H10/G10</f>
        <v>0.62181550476288816</v>
      </c>
      <c r="K10" s="127">
        <f t="shared" ref="K10:K36" si="1">IF(H10=0,0,I10/H10)</f>
        <v>0.12726972551721571</v>
      </c>
      <c r="L10" s="11"/>
    </row>
    <row r="11" spans="1:12" ht="12" customHeight="1">
      <c r="A11" s="3448">
        <v>4121</v>
      </c>
      <c r="B11" s="3447" t="s">
        <v>68</v>
      </c>
      <c r="C11" s="124">
        <f>'4121 Juridica'!C23</f>
        <v>2</v>
      </c>
      <c r="D11" s="124">
        <f>'4121 Juridica'!C23-'4121 Juridica'!G23</f>
        <v>2</v>
      </c>
      <c r="E11" s="125">
        <f>'4121 Juridica'!O23</f>
        <v>0.20630000000000001</v>
      </c>
      <c r="F11" s="126">
        <v>1500000000</v>
      </c>
      <c r="G11" s="126">
        <v>3140658000</v>
      </c>
      <c r="H11" s="126">
        <v>1777344000</v>
      </c>
      <c r="I11" s="126">
        <v>877139999</v>
      </c>
      <c r="J11" s="125">
        <f t="shared" si="0"/>
        <v>0.56591453128611902</v>
      </c>
      <c r="K11" s="127">
        <f t="shared" si="1"/>
        <v>0.49351166628407334</v>
      </c>
      <c r="L11" s="11"/>
    </row>
    <row r="12" spans="1:12" ht="12" customHeight="1">
      <c r="A12" s="3449">
        <v>4123</v>
      </c>
      <c r="B12" s="3447" t="s">
        <v>85</v>
      </c>
      <c r="C12" s="124">
        <f>'4123 Control Interno'!C15</f>
        <v>1</v>
      </c>
      <c r="D12" s="124">
        <f>'4123 Control Interno'!C15-'4123 Control Interno'!G15</f>
        <v>1</v>
      </c>
      <c r="E12" s="125">
        <f>'4123 Control Interno'!O15</f>
        <v>0.23</v>
      </c>
      <c r="F12" s="126">
        <v>500000000</v>
      </c>
      <c r="G12" s="126">
        <v>500000000</v>
      </c>
      <c r="H12" s="126">
        <v>329921150</v>
      </c>
      <c r="I12" s="126">
        <v>148590000</v>
      </c>
      <c r="J12" s="125">
        <f t="shared" si="0"/>
        <v>0.65984229999999999</v>
      </c>
      <c r="K12" s="127">
        <f t="shared" si="1"/>
        <v>0.45038034087841899</v>
      </c>
      <c r="L12" s="11"/>
    </row>
    <row r="13" spans="1:12" ht="12" customHeight="1">
      <c r="A13" s="3448">
        <v>4124</v>
      </c>
      <c r="B13" s="3447" t="s">
        <v>96</v>
      </c>
      <c r="C13" s="124">
        <f>'4124 D Control Disciplinario'!C23</f>
        <v>3</v>
      </c>
      <c r="D13" s="124">
        <f>'4124 D Control Disciplinario'!C23-'4124 D Control Disciplinario'!G23</f>
        <v>3</v>
      </c>
      <c r="E13" s="125">
        <f>'4124 D Control Disciplinario'!O23</f>
        <v>0.44163333333333332</v>
      </c>
      <c r="F13" s="126">
        <v>1000000000</v>
      </c>
      <c r="G13" s="126">
        <v>1000000000</v>
      </c>
      <c r="H13" s="126">
        <v>605574340</v>
      </c>
      <c r="I13" s="126">
        <v>281630500</v>
      </c>
      <c r="J13" s="125">
        <f t="shared" si="0"/>
        <v>0.60557433999999999</v>
      </c>
      <c r="K13" s="127">
        <f t="shared" si="1"/>
        <v>0.46506346355428468</v>
      </c>
      <c r="L13" s="11"/>
    </row>
    <row r="14" spans="1:12" ht="12" customHeight="1">
      <c r="A14" s="3448">
        <v>4131</v>
      </c>
      <c r="B14" s="3447" t="s">
        <v>115</v>
      </c>
      <c r="C14" s="124">
        <f>'4131 Hacienda'!C51</f>
        <v>8</v>
      </c>
      <c r="D14" s="124">
        <f>'4131 Hacienda'!C51-'4131 Hacienda'!G51</f>
        <v>8</v>
      </c>
      <c r="E14" s="125">
        <f>'4131 Hacienda'!O51</f>
        <v>0.36658749999999996</v>
      </c>
      <c r="F14" s="126">
        <v>27192829865</v>
      </c>
      <c r="G14" s="126">
        <v>42380886683</v>
      </c>
      <c r="H14" s="126">
        <v>27963044995</v>
      </c>
      <c r="I14" s="126">
        <v>15042061575</v>
      </c>
      <c r="J14" s="125">
        <f t="shared" si="0"/>
        <v>0.65980320808664572</v>
      </c>
      <c r="K14" s="127">
        <f t="shared" si="1"/>
        <v>0.53792645177553566</v>
      </c>
      <c r="L14" s="11"/>
    </row>
    <row r="15" spans="1:12" ht="12" customHeight="1">
      <c r="A15" s="3448">
        <v>4132</v>
      </c>
      <c r="B15" s="3447" t="s">
        <v>35</v>
      </c>
      <c r="C15" s="124">
        <f>'4132 Planeacion'!C144</f>
        <v>30</v>
      </c>
      <c r="D15" s="124">
        <f>'4132 Planeacion'!C144-'4132 Planeacion'!G144</f>
        <v>30</v>
      </c>
      <c r="E15" s="125">
        <f>'4132 Planeacion'!O144</f>
        <v>0.23358999999999996</v>
      </c>
      <c r="F15" s="126">
        <v>25423593178</v>
      </c>
      <c r="G15" s="126">
        <v>33921552789</v>
      </c>
      <c r="H15" s="126">
        <v>18462882936</v>
      </c>
      <c r="I15" s="126">
        <v>8861040496</v>
      </c>
      <c r="J15" s="125">
        <f t="shared" si="0"/>
        <v>0.54428177421132384</v>
      </c>
      <c r="K15" s="127">
        <f t="shared" si="1"/>
        <v>0.47993807504039521</v>
      </c>
      <c r="L15" s="11"/>
    </row>
    <row r="16" spans="1:12" ht="12" customHeight="1">
      <c r="A16" s="3448">
        <v>4133</v>
      </c>
      <c r="B16" s="3447" t="s">
        <v>97</v>
      </c>
      <c r="C16" s="124">
        <f>'4133 Dagma'!C207</f>
        <v>43</v>
      </c>
      <c r="D16" s="124">
        <f>'4133 Dagma'!C207-'4133 Dagma'!G207</f>
        <v>43</v>
      </c>
      <c r="E16" s="125">
        <f>'4133 Dagma'!O207</f>
        <v>0.28545641778044795</v>
      </c>
      <c r="F16" s="126">
        <v>42926039107</v>
      </c>
      <c r="G16" s="126">
        <v>65640555496</v>
      </c>
      <c r="H16" s="126">
        <v>23327197843</v>
      </c>
      <c r="I16" s="126">
        <v>11536708060</v>
      </c>
      <c r="J16" s="125">
        <f t="shared" si="0"/>
        <v>0.35537782498537068</v>
      </c>
      <c r="K16" s="127">
        <f t="shared" si="1"/>
        <v>0.49456038987820061</v>
      </c>
      <c r="L16" s="11"/>
    </row>
    <row r="17" spans="1:12" ht="12" customHeight="1">
      <c r="A17" s="32">
        <v>4134</v>
      </c>
      <c r="B17" s="3447" t="s">
        <v>66</v>
      </c>
      <c r="C17" s="124">
        <f>'4134 DATIC'!C50</f>
        <v>11</v>
      </c>
      <c r="D17" s="124">
        <f>'4134 DATIC'!C50-'4134 DATIC'!G50</f>
        <v>11</v>
      </c>
      <c r="E17" s="125">
        <f>'4134 DATIC'!O50</f>
        <v>0.32720000000000005</v>
      </c>
      <c r="F17" s="126">
        <v>11000000000</v>
      </c>
      <c r="G17" s="126">
        <v>32541797849</v>
      </c>
      <c r="H17" s="126">
        <v>17809866035</v>
      </c>
      <c r="I17" s="126">
        <v>5685875829</v>
      </c>
      <c r="J17" s="125">
        <f t="shared" si="0"/>
        <v>0.54729201249547099</v>
      </c>
      <c r="K17" s="127">
        <f t="shared" si="1"/>
        <v>0.31925427276241719</v>
      </c>
      <c r="L17" s="11"/>
    </row>
    <row r="18" spans="1:12" ht="12" customHeight="1">
      <c r="A18" s="32">
        <v>4135</v>
      </c>
      <c r="B18" s="3447" t="s">
        <v>55</v>
      </c>
      <c r="C18" s="124">
        <f>'4135 Contratacion'!C17</f>
        <v>1</v>
      </c>
      <c r="D18" s="124">
        <f>'4135 Contratacion'!C17-'4135 Contratacion'!G17</f>
        <v>1</v>
      </c>
      <c r="E18" s="125">
        <f>'4135 Contratacion'!O17</f>
        <v>0</v>
      </c>
      <c r="F18" s="126">
        <v>1000000000</v>
      </c>
      <c r="G18" s="126">
        <v>1000000000</v>
      </c>
      <c r="H18" s="126">
        <v>350000000</v>
      </c>
      <c r="I18" s="126">
        <v>0</v>
      </c>
      <c r="J18" s="125">
        <f t="shared" si="0"/>
        <v>0.35</v>
      </c>
      <c r="K18" s="127">
        <f t="shared" si="1"/>
        <v>0</v>
      </c>
      <c r="L18" s="11"/>
    </row>
    <row r="19" spans="1:12" ht="12" customHeight="1">
      <c r="A19" s="32">
        <v>4137</v>
      </c>
      <c r="B19" s="3447" t="s">
        <v>78</v>
      </c>
      <c r="C19" s="124">
        <f>'4137 DADII'!C62</f>
        <v>13</v>
      </c>
      <c r="D19" s="124">
        <f>'4137 DADII'!C62-'4137 DADII'!G62</f>
        <v>13</v>
      </c>
      <c r="E19" s="140">
        <f>'4137 DADII'!O62</f>
        <v>0.19953846153846155</v>
      </c>
      <c r="F19" s="126">
        <v>1817485526</v>
      </c>
      <c r="G19" s="126">
        <v>3358098121</v>
      </c>
      <c r="H19" s="126">
        <v>972332566</v>
      </c>
      <c r="I19" s="126">
        <v>479970544</v>
      </c>
      <c r="J19" s="125">
        <f t="shared" si="0"/>
        <v>0.2895485870170022</v>
      </c>
      <c r="K19" s="127">
        <f t="shared" si="1"/>
        <v>0.49362796308932844</v>
      </c>
      <c r="L19" s="11"/>
    </row>
    <row r="20" spans="1:12" ht="12" customHeight="1">
      <c r="A20" s="3448">
        <v>4143</v>
      </c>
      <c r="B20" s="3447" t="s">
        <v>50</v>
      </c>
      <c r="C20" s="124">
        <f>'4143 Educacion'!C171</f>
        <v>48</v>
      </c>
      <c r="D20" s="124">
        <f>'4143 Educacion'!C171-'4143 Educacion'!C171</f>
        <v>0</v>
      </c>
      <c r="E20" s="125">
        <f>'4143 Educacion'!O171</f>
        <v>7.2562500000000002E-2</v>
      </c>
      <c r="F20" s="126">
        <v>1094649843906</v>
      </c>
      <c r="G20" s="126">
        <v>1186238296800</v>
      </c>
      <c r="H20" s="126">
        <v>706185103026</v>
      </c>
      <c r="I20" s="126">
        <v>456461872659</v>
      </c>
      <c r="J20" s="125">
        <f t="shared" si="0"/>
        <v>0.59531470610163828</v>
      </c>
      <c r="K20" s="127">
        <f t="shared" si="1"/>
        <v>0.64637709108145003</v>
      </c>
      <c r="L20" s="11"/>
    </row>
    <row r="21" spans="1:12" ht="12" customHeight="1">
      <c r="A21" s="3448">
        <v>4145</v>
      </c>
      <c r="B21" s="3447" t="s">
        <v>114</v>
      </c>
      <c r="C21" s="124">
        <f>'4145 Salud'!C224</f>
        <v>38</v>
      </c>
      <c r="D21" s="124">
        <f>'4145 Salud'!C224-'4145 Salud'!G224</f>
        <v>38</v>
      </c>
      <c r="E21" s="125">
        <f>'4145 Salud'!O224</f>
        <v>0.26254177158505576</v>
      </c>
      <c r="F21" s="126">
        <v>1375048175496</v>
      </c>
      <c r="G21" s="126">
        <v>1562486412571</v>
      </c>
      <c r="H21" s="126">
        <v>482874254145</v>
      </c>
      <c r="I21" s="126">
        <v>456147572498</v>
      </c>
      <c r="J21" s="125">
        <f t="shared" si="0"/>
        <v>0.30904221006981591</v>
      </c>
      <c r="K21" s="127">
        <f t="shared" si="1"/>
        <v>0.94465084560301615</v>
      </c>
      <c r="L21" s="11"/>
    </row>
    <row r="22" spans="1:12" ht="12" customHeight="1">
      <c r="A22" s="3448">
        <v>4146</v>
      </c>
      <c r="B22" s="3447" t="s">
        <v>116</v>
      </c>
      <c r="C22" s="124">
        <f>'4146 Bienestar Social'!C258</f>
        <v>60</v>
      </c>
      <c r="D22" s="124">
        <f>'4146 Bienestar Social'!C258-'4146 Bienestar Social'!G258</f>
        <v>60</v>
      </c>
      <c r="E22" s="125">
        <f>'4146 Bienestar Social'!O258</f>
        <v>0.17881355932203385</v>
      </c>
      <c r="F22" s="126">
        <v>134598808941</v>
      </c>
      <c r="G22" s="126">
        <v>226600766024</v>
      </c>
      <c r="H22" s="126">
        <v>107318534896</v>
      </c>
      <c r="I22" s="126">
        <v>19752007830</v>
      </c>
      <c r="J22" s="125">
        <f t="shared" si="0"/>
        <v>0.4736018186480162</v>
      </c>
      <c r="K22" s="127">
        <f t="shared" si="1"/>
        <v>0.18405029335464959</v>
      </c>
      <c r="L22" s="11"/>
    </row>
    <row r="23" spans="1:12" ht="12" customHeight="1">
      <c r="A23" s="3449">
        <v>4147</v>
      </c>
      <c r="B23" s="3447" t="s">
        <v>98</v>
      </c>
      <c r="C23" s="124">
        <f>'4147 Vivienda'!C71</f>
        <v>13</v>
      </c>
      <c r="D23" s="124">
        <f>'4147 Vivienda'!C71-'4147 Vivienda'!G71</f>
        <v>13</v>
      </c>
      <c r="E23" s="140">
        <f>'4147 Vivienda'!O71</f>
        <v>0.39633472257843044</v>
      </c>
      <c r="F23" s="126">
        <v>34200000000</v>
      </c>
      <c r="G23" s="126">
        <v>49005687755</v>
      </c>
      <c r="H23" s="126">
        <v>26759607145</v>
      </c>
      <c r="I23" s="126">
        <v>8246751103</v>
      </c>
      <c r="J23" s="125">
        <f t="shared" si="0"/>
        <v>0.54605104776373115</v>
      </c>
      <c r="K23" s="127">
        <f t="shared" si="1"/>
        <v>0.30817907969702368</v>
      </c>
      <c r="L23" s="11"/>
    </row>
    <row r="24" spans="1:12" ht="12" customHeight="1">
      <c r="A24" s="3448">
        <v>4148</v>
      </c>
      <c r="B24" s="3447" t="s">
        <v>62</v>
      </c>
      <c r="C24" s="124">
        <f>'4148 Cultura'!C299</f>
        <v>84</v>
      </c>
      <c r="D24" s="124">
        <f>'4148 Cultura'!C299-'4148 Cultura'!G299</f>
        <v>84</v>
      </c>
      <c r="E24" s="125">
        <f>'4148 Cultura'!O299</f>
        <v>0.12598809523809523</v>
      </c>
      <c r="F24" s="126">
        <v>73298514580</v>
      </c>
      <c r="G24" s="126">
        <v>142314710279</v>
      </c>
      <c r="H24" s="126">
        <v>84837490265</v>
      </c>
      <c r="I24" s="126">
        <v>10843704954</v>
      </c>
      <c r="J24" s="125">
        <f t="shared" si="0"/>
        <v>0.59612593876403119</v>
      </c>
      <c r="K24" s="127">
        <f t="shared" si="1"/>
        <v>0.12781737083603484</v>
      </c>
      <c r="L24" s="11"/>
    </row>
    <row r="25" spans="1:12" ht="12" customHeight="1">
      <c r="A25" s="3448">
        <v>4151</v>
      </c>
      <c r="B25" s="3447" t="s">
        <v>117</v>
      </c>
      <c r="C25" s="124">
        <f>'4151 Infraestructura'!C86</f>
        <v>26</v>
      </c>
      <c r="D25" s="124">
        <f>'4151 Infraestructura'!C86-'4151 Infraestructura'!G86</f>
        <v>26</v>
      </c>
      <c r="E25" s="125">
        <f>'4151 Infraestructura'!O86</f>
        <v>3.0657993820993823E-2</v>
      </c>
      <c r="F25" s="126">
        <v>142992124396</v>
      </c>
      <c r="G25" s="126">
        <v>181714438289</v>
      </c>
      <c r="H25" s="126">
        <v>60158468842</v>
      </c>
      <c r="I25" s="126">
        <v>5630252113</v>
      </c>
      <c r="J25" s="125">
        <f t="shared" si="0"/>
        <v>0.33106047823411544</v>
      </c>
      <c r="K25" s="127">
        <f t="shared" si="1"/>
        <v>9.3590349312035775E-2</v>
      </c>
      <c r="L25" s="11"/>
    </row>
    <row r="26" spans="1:12" ht="12" customHeight="1">
      <c r="A26" s="3448">
        <v>4152</v>
      </c>
      <c r="B26" s="3447" t="s">
        <v>63</v>
      </c>
      <c r="C26" s="124">
        <f>'4152 Movilidad'!C74</f>
        <v>16</v>
      </c>
      <c r="D26" s="124">
        <f>'4152 Movilidad'!C74-'4152 Movilidad'!G74</f>
        <v>16</v>
      </c>
      <c r="E26" s="125">
        <f>'4152 Movilidad'!O74</f>
        <v>0.36000000000000004</v>
      </c>
      <c r="F26" s="126">
        <v>181048302839</v>
      </c>
      <c r="G26" s="126">
        <v>362357075828</v>
      </c>
      <c r="H26" s="126">
        <v>215165536923</v>
      </c>
      <c r="I26" s="126">
        <v>197442416633</v>
      </c>
      <c r="J26" s="125">
        <f t="shared" si="0"/>
        <v>0.59379421922792153</v>
      </c>
      <c r="K26" s="127">
        <f t="shared" si="1"/>
        <v>0.9176303020295371</v>
      </c>
      <c r="L26" s="11"/>
    </row>
    <row r="27" spans="1:12" ht="12" customHeight="1">
      <c r="A27" s="3448">
        <v>4161</v>
      </c>
      <c r="B27" s="3447" t="s">
        <v>91</v>
      </c>
      <c r="C27" s="124">
        <f>'4161 Seguridad y Justicia'!C153</f>
        <v>41</v>
      </c>
      <c r="D27" s="124">
        <f>'4161 Seguridad y Justicia'!C153-'4161 Seguridad y Justicia'!G153</f>
        <v>40</v>
      </c>
      <c r="E27" s="125">
        <f>'4161 Seguridad y Justicia'!O153</f>
        <v>0.30711674881773882</v>
      </c>
      <c r="F27" s="126">
        <v>92136683597</v>
      </c>
      <c r="G27" s="126">
        <v>117623786350</v>
      </c>
      <c r="H27" s="126">
        <v>30724327074</v>
      </c>
      <c r="I27" s="126">
        <v>11277134090</v>
      </c>
      <c r="J27" s="125">
        <f t="shared" si="0"/>
        <v>0.2612084513465418</v>
      </c>
      <c r="K27" s="127">
        <f t="shared" si="1"/>
        <v>0.36704250878591593</v>
      </c>
      <c r="L27" s="11"/>
    </row>
    <row r="28" spans="1:12" ht="12" customHeight="1">
      <c r="A28" s="32">
        <v>4162</v>
      </c>
      <c r="B28" s="3447" t="s">
        <v>49</v>
      </c>
      <c r="C28" s="124">
        <f>'4162 Deporte'!C153</f>
        <v>52</v>
      </c>
      <c r="D28" s="124">
        <f>'4162 Deporte'!C153-'4162 Deporte'!G153</f>
        <v>52</v>
      </c>
      <c r="E28" s="125">
        <f>'4162 Deporte'!O153</f>
        <v>7.176727395411607E-2</v>
      </c>
      <c r="F28" s="126">
        <v>68046629056</v>
      </c>
      <c r="G28" s="126">
        <v>99236966695</v>
      </c>
      <c r="H28" s="126">
        <v>45924286250</v>
      </c>
      <c r="I28" s="126">
        <v>11526918057</v>
      </c>
      <c r="J28" s="125">
        <f t="shared" si="0"/>
        <v>0.4627739821103769</v>
      </c>
      <c r="K28" s="127">
        <f t="shared" si="1"/>
        <v>0.25099830608690188</v>
      </c>
      <c r="L28" s="11"/>
    </row>
    <row r="29" spans="1:12" ht="12" customHeight="1">
      <c r="A29" s="32">
        <v>4163</v>
      </c>
      <c r="B29" s="3447" t="s">
        <v>83</v>
      </c>
      <c r="C29" s="124">
        <f>'4163 Riesgo'!C54</f>
        <v>12</v>
      </c>
      <c r="D29" s="124">
        <f>'4163 Riesgo'!C54-'4163 Riesgo'!G54</f>
        <v>12</v>
      </c>
      <c r="E29" s="125">
        <f>'4163 Riesgo'!O54</f>
        <v>0.29016666666666668</v>
      </c>
      <c r="F29" s="126">
        <v>40338974050</v>
      </c>
      <c r="G29" s="126">
        <v>52486857043</v>
      </c>
      <c r="H29" s="126">
        <v>38505646906</v>
      </c>
      <c r="I29" s="126">
        <v>26915524123</v>
      </c>
      <c r="J29" s="125">
        <f t="shared" si="0"/>
        <v>0.73362455051279107</v>
      </c>
      <c r="K29" s="127">
        <f t="shared" si="1"/>
        <v>0.69900199803696816</v>
      </c>
      <c r="L29" s="11"/>
    </row>
    <row r="30" spans="1:12" ht="12" customHeight="1">
      <c r="A30" s="34">
        <v>4164</v>
      </c>
      <c r="B30" s="3447" t="s">
        <v>84</v>
      </c>
      <c r="C30" s="124">
        <f>'4164 Paz y CC'!C147</f>
        <v>28</v>
      </c>
      <c r="D30" s="124">
        <f>'4164 Paz y CC'!C147-'4164 Paz y CC'!G147</f>
        <v>28</v>
      </c>
      <c r="E30" s="125">
        <f>'4164 Paz y CC'!O147</f>
        <v>0.46328047993547078</v>
      </c>
      <c r="F30" s="126">
        <v>11000000000</v>
      </c>
      <c r="G30" s="126">
        <v>18024830034</v>
      </c>
      <c r="H30" s="126">
        <v>9471792000</v>
      </c>
      <c r="I30" s="126">
        <v>3841884500</v>
      </c>
      <c r="J30" s="125">
        <f t="shared" si="0"/>
        <v>0.52548578722426142</v>
      </c>
      <c r="K30" s="127">
        <f t="shared" si="1"/>
        <v>0.40561326726769337</v>
      </c>
      <c r="L30" s="11"/>
    </row>
    <row r="31" spans="1:12" ht="12" customHeight="1">
      <c r="A31" s="34">
        <v>4171</v>
      </c>
      <c r="B31" s="3447" t="s">
        <v>88</v>
      </c>
      <c r="C31" s="3450">
        <f>'4171 Desarrollo Eco'!C154</f>
        <v>42</v>
      </c>
      <c r="D31" s="124">
        <f>'4171 Desarrollo Eco'!C154-'4171 Desarrollo Eco'!G154</f>
        <v>42</v>
      </c>
      <c r="E31" s="125">
        <f>'4171 Desarrollo Eco'!O154</f>
        <v>8.8071428571428551E-2</v>
      </c>
      <c r="F31" s="126">
        <v>37598070086</v>
      </c>
      <c r="G31" s="126">
        <v>56189614121</v>
      </c>
      <c r="H31" s="126">
        <v>26702728801</v>
      </c>
      <c r="I31" s="126">
        <v>3327025201</v>
      </c>
      <c r="J31" s="125">
        <f t="shared" si="0"/>
        <v>0.47522534579963005</v>
      </c>
      <c r="K31" s="127">
        <f t="shared" si="1"/>
        <v>0.12459495154200888</v>
      </c>
      <c r="L31" s="11"/>
    </row>
    <row r="32" spans="1:12" ht="12" customHeight="1">
      <c r="A32" s="34">
        <v>4172</v>
      </c>
      <c r="B32" s="3447" t="s">
        <v>60</v>
      </c>
      <c r="C32" s="124">
        <f>'4172 Turismo'!C54</f>
        <v>13</v>
      </c>
      <c r="D32" s="124">
        <f>'4172 Turismo'!C54-'4172 Turismo'!G54</f>
        <v>13</v>
      </c>
      <c r="E32" s="125">
        <f>'4172 Turismo'!O54</f>
        <v>9.7585714285714276E-2</v>
      </c>
      <c r="F32" s="126">
        <v>12681900000</v>
      </c>
      <c r="G32" s="126">
        <v>24376667550</v>
      </c>
      <c r="H32" s="126">
        <v>6387915201</v>
      </c>
      <c r="I32" s="126">
        <v>2178961133</v>
      </c>
      <c r="J32" s="125">
        <f t="shared" si="0"/>
        <v>0.26205038846665485</v>
      </c>
      <c r="K32" s="127">
        <f t="shared" si="1"/>
        <v>0.3411067718398787</v>
      </c>
      <c r="L32" s="11"/>
    </row>
    <row r="33" spans="1:12">
      <c r="A33" s="34">
        <v>4173</v>
      </c>
      <c r="B33" s="3447" t="s">
        <v>87</v>
      </c>
      <c r="C33" s="124">
        <f>'4173 Desarrollo Territorial'!C55</f>
        <v>9</v>
      </c>
      <c r="D33" s="124">
        <f>'4173 Desarrollo Territorial'!C55-'4173 Desarrollo Territorial'!G55</f>
        <v>9</v>
      </c>
      <c r="E33" s="125">
        <f>'4173 Desarrollo Territorial'!O55</f>
        <v>0.46687007870596375</v>
      </c>
      <c r="F33" s="126">
        <v>13117917069</v>
      </c>
      <c r="G33" s="126">
        <v>17217917069</v>
      </c>
      <c r="H33" s="126">
        <v>11641740234</v>
      </c>
      <c r="I33" s="126">
        <v>5521536095</v>
      </c>
      <c r="J33" s="125">
        <f t="shared" si="0"/>
        <v>0.67614103304983231</v>
      </c>
      <c r="K33" s="127">
        <f t="shared" si="1"/>
        <v>0.474287862812315</v>
      </c>
      <c r="L33" s="11"/>
    </row>
    <row r="34" spans="1:12" ht="12" customHeight="1">
      <c r="A34" s="34">
        <v>4181</v>
      </c>
      <c r="B34" s="3447" t="s">
        <v>79</v>
      </c>
      <c r="C34" s="124">
        <f>'4181 Bienes y Servicios'!C29</f>
        <v>5</v>
      </c>
      <c r="D34" s="124">
        <f>'4181 Bienes y Servicios'!C29-'4181 Bienes y Servicios'!G29</f>
        <v>4</v>
      </c>
      <c r="E34" s="125">
        <f>'4181 Bienes y Servicios'!O229</f>
        <v>0</v>
      </c>
      <c r="F34" s="126">
        <v>4892151211</v>
      </c>
      <c r="G34" s="126">
        <v>1934556201</v>
      </c>
      <c r="H34" s="126">
        <v>440430118</v>
      </c>
      <c r="I34" s="126">
        <v>72578014</v>
      </c>
      <c r="J34" s="125">
        <f t="shared" si="0"/>
        <v>0.22766467977117197</v>
      </c>
      <c r="K34" s="127">
        <f t="shared" si="1"/>
        <v>0.16478894388416915</v>
      </c>
      <c r="L34" s="11"/>
    </row>
    <row r="35" spans="1:12" ht="12" customHeight="1">
      <c r="A35" s="34">
        <v>4182</v>
      </c>
      <c r="B35" s="3447" t="s">
        <v>77</v>
      </c>
      <c r="C35" s="124">
        <f>'4182 Servicios Publicos'!C112</f>
        <v>27</v>
      </c>
      <c r="D35" s="124">
        <f>'4182 Servicios Publicos'!C112-'4182 Servicios Publicos'!G112</f>
        <v>26</v>
      </c>
      <c r="E35" s="125">
        <f>'4182 Servicios Publicos'!O112</f>
        <v>0.27641111111111116</v>
      </c>
      <c r="F35" s="126">
        <v>335710414796</v>
      </c>
      <c r="G35" s="126">
        <v>502384385646</v>
      </c>
      <c r="H35" s="126">
        <v>257836185853</v>
      </c>
      <c r="I35" s="126">
        <v>85356413118</v>
      </c>
      <c r="J35" s="125">
        <f>H35/G35</f>
        <v>0.51322491944381732</v>
      </c>
      <c r="K35" s="127">
        <f>IF(H35=0,0,I35/H35)</f>
        <v>0.33104900631234208</v>
      </c>
      <c r="L35" s="11"/>
    </row>
    <row r="36" spans="1:12" ht="12" customHeight="1">
      <c r="A36" s="34">
        <v>4183</v>
      </c>
      <c r="B36" s="3447" t="s">
        <v>344</v>
      </c>
      <c r="C36" s="124">
        <f>'4181 Protección Animal'!C17</f>
        <v>1</v>
      </c>
      <c r="D36" s="124">
        <f>'4181 Protección Animal'!C17-'4181 Protección Animal'!G17</f>
        <v>1</v>
      </c>
      <c r="E36" s="125">
        <f>'4181 Protección Animal'!O17</f>
        <v>0.39359631578947368</v>
      </c>
      <c r="F36" s="126">
        <v>6352578747</v>
      </c>
      <c r="G36" s="126">
        <v>8866794147</v>
      </c>
      <c r="H36" s="126">
        <v>3417850958</v>
      </c>
      <c r="I36" s="126">
        <v>1827293421</v>
      </c>
      <c r="J36" s="125">
        <f t="shared" si="0"/>
        <v>0.38546637052089444</v>
      </c>
      <c r="K36" s="127">
        <f t="shared" si="1"/>
        <v>0.53463227140520619</v>
      </c>
      <c r="L36" s="11"/>
    </row>
    <row r="37" spans="1:12" ht="7.5" customHeight="1">
      <c r="A37" s="24"/>
      <c r="B37" s="33"/>
      <c r="C37" s="35"/>
      <c r="D37" s="35"/>
      <c r="E37" s="36"/>
      <c r="F37" s="28"/>
      <c r="G37" s="28"/>
      <c r="H37" s="28"/>
      <c r="I37" s="28"/>
      <c r="J37" s="30"/>
      <c r="K37" s="37"/>
    </row>
    <row r="38" spans="1:12" ht="12.75" customHeight="1">
      <c r="A38" s="24"/>
      <c r="B38" s="33" t="s">
        <v>23</v>
      </c>
      <c r="C38" s="29">
        <f>SUM(C10:C36)</f>
        <v>635</v>
      </c>
      <c r="D38" s="29">
        <f>SUM(D10:D36)</f>
        <v>583</v>
      </c>
      <c r="E38" s="30">
        <f>(D10*E10+D11*E11+D12*E12+D13*E13+D14*E14+D15*E15+D16*E16+D17*E17+D18*E18+D19*E19+D20*E20+D21*E21+D22*E22+D23*E23+D24*E24+D25*E25+D26*E26+D27*E27+D28*E28+D29*E29+D30*E30+D31*E31+D32*E32+D33*E33+D34*E34+D35*E35+D36*E36)/D38</f>
        <v>0.21302356417194157</v>
      </c>
      <c r="F38" s="29">
        <f>SUM(F10:F36)</f>
        <v>3780071036446</v>
      </c>
      <c r="G38" s="29">
        <f>SUM(G10:G36)</f>
        <v>4812609287340</v>
      </c>
      <c r="H38" s="29">
        <f>SUM(H10:H36)</f>
        <v>2218427397497</v>
      </c>
      <c r="I38" s="29">
        <f>SUM(I10:I36)</f>
        <v>1350870849545</v>
      </c>
      <c r="J38" s="30">
        <f>H38/G38</f>
        <v>0.46096145875227645</v>
      </c>
      <c r="K38" s="31">
        <f>I38/H38</f>
        <v>0.60893173744119644</v>
      </c>
    </row>
    <row r="39" spans="1:12" ht="8.25" customHeight="1">
      <c r="A39" s="12"/>
      <c r="B39" s="13"/>
      <c r="C39" s="13"/>
      <c r="D39" s="13"/>
      <c r="E39" s="13"/>
      <c r="F39" s="12"/>
      <c r="G39" s="12"/>
      <c r="H39" s="12"/>
      <c r="I39" s="12"/>
      <c r="J39" s="12"/>
      <c r="K39" s="12"/>
    </row>
    <row r="40" spans="1:12">
      <c r="A40" s="38" t="s">
        <v>69</v>
      </c>
      <c r="B40" s="5"/>
      <c r="C40" s="5"/>
      <c r="D40" s="5"/>
      <c r="E40" s="5"/>
      <c r="F40" s="5"/>
      <c r="G40" s="5"/>
      <c r="H40" s="5"/>
      <c r="I40" s="5"/>
      <c r="J40" s="5"/>
      <c r="K40" s="5"/>
    </row>
    <row r="41" spans="1:12" ht="10.5" customHeight="1">
      <c r="A41" s="39"/>
      <c r="B41" s="5"/>
      <c r="C41" s="5"/>
      <c r="D41" s="5"/>
      <c r="E41" s="5"/>
      <c r="F41" s="29"/>
      <c r="G41" s="29"/>
      <c r="H41" s="29"/>
      <c r="I41" s="29"/>
      <c r="J41" s="5"/>
      <c r="K41" s="5"/>
    </row>
    <row r="42" spans="1:12">
      <c r="A42" s="39"/>
      <c r="B42" s="5"/>
      <c r="C42" s="5"/>
      <c r="D42" s="5"/>
      <c r="E42" s="5"/>
      <c r="F42" s="5"/>
      <c r="G42" s="5"/>
      <c r="H42" s="5"/>
      <c r="I42" s="5"/>
      <c r="J42" s="5"/>
      <c r="K42" s="5"/>
    </row>
    <row r="43" spans="1:12">
      <c r="G43" s="14"/>
      <c r="H43" s="14"/>
      <c r="I43" s="14"/>
    </row>
    <row r="44" spans="1:12">
      <c r="A44" s="15" t="s">
        <v>24</v>
      </c>
      <c r="B44" s="11"/>
      <c r="C44" s="11"/>
      <c r="D44" s="11"/>
    </row>
    <row r="45" spans="1:12">
      <c r="A45" s="18" t="s">
        <v>25</v>
      </c>
      <c r="B45" s="19" t="s">
        <v>26</v>
      </c>
      <c r="C45" s="19"/>
      <c r="D45" s="19"/>
      <c r="E45" s="20"/>
      <c r="F45" s="20"/>
      <c r="G45" s="20"/>
      <c r="H45" s="20"/>
      <c r="I45" s="20"/>
      <c r="J45" s="20"/>
      <c r="K45" s="20"/>
    </row>
    <row r="46" spans="1:12">
      <c r="A46" s="21">
        <v>0</v>
      </c>
      <c r="B46" s="19">
        <v>0.2</v>
      </c>
      <c r="C46" s="19"/>
      <c r="D46" s="19"/>
      <c r="E46" s="20"/>
      <c r="F46" s="20"/>
      <c r="G46" s="20"/>
      <c r="H46" s="20"/>
      <c r="I46" s="20"/>
      <c r="J46" s="20"/>
      <c r="K46" s="20"/>
    </row>
    <row r="47" spans="1:12">
      <c r="A47" s="21">
        <v>0.2</v>
      </c>
      <c r="B47" s="19">
        <v>0.2</v>
      </c>
      <c r="C47" s="19"/>
      <c r="D47" s="19"/>
      <c r="E47" s="20"/>
      <c r="F47" s="20"/>
      <c r="G47" s="20"/>
      <c r="H47" s="20"/>
      <c r="I47" s="20"/>
      <c r="J47" s="20"/>
      <c r="K47" s="20"/>
    </row>
    <row r="48" spans="1:12">
      <c r="A48" s="21">
        <v>0.4</v>
      </c>
      <c r="B48" s="19">
        <v>0.2</v>
      </c>
      <c r="C48" s="19"/>
      <c r="D48" s="19"/>
      <c r="E48" s="20"/>
      <c r="F48" s="20"/>
      <c r="G48" s="20"/>
      <c r="H48" s="20"/>
      <c r="I48" s="20"/>
      <c r="J48" s="20"/>
      <c r="K48" s="20"/>
    </row>
    <row r="49" spans="1:11">
      <c r="A49" s="21">
        <v>0.6</v>
      </c>
      <c r="B49" s="19">
        <v>0.2</v>
      </c>
      <c r="C49" s="19"/>
      <c r="D49" s="19"/>
      <c r="E49" s="20"/>
      <c r="F49" s="20"/>
      <c r="G49" s="20"/>
      <c r="H49" s="20"/>
      <c r="I49" s="20"/>
      <c r="J49" s="20"/>
      <c r="K49" s="20"/>
    </row>
    <row r="50" spans="1:11">
      <c r="A50" s="21">
        <v>0.8</v>
      </c>
      <c r="B50" s="19">
        <v>0.2</v>
      </c>
      <c r="C50" s="19"/>
      <c r="D50" s="19"/>
      <c r="E50" s="20"/>
      <c r="F50" s="20"/>
      <c r="G50" s="20"/>
      <c r="H50" s="20"/>
      <c r="I50" s="20"/>
      <c r="J50" s="20"/>
      <c r="K50" s="20"/>
    </row>
    <row r="51" spans="1:11">
      <c r="A51" s="21">
        <v>1</v>
      </c>
      <c r="B51" s="19">
        <v>1</v>
      </c>
      <c r="C51" s="19"/>
      <c r="D51" s="19"/>
      <c r="E51" s="20"/>
      <c r="F51" s="20"/>
      <c r="G51" s="20"/>
      <c r="H51" s="20"/>
      <c r="I51" s="20"/>
      <c r="J51" s="20"/>
      <c r="K51" s="20"/>
    </row>
    <row r="52" spans="1:11">
      <c r="A52" s="19"/>
      <c r="B52" s="19"/>
      <c r="C52" s="19"/>
      <c r="D52" s="19"/>
      <c r="E52" s="20"/>
      <c r="F52" s="20"/>
      <c r="G52" s="20"/>
      <c r="H52" s="20"/>
      <c r="I52" s="20"/>
      <c r="J52" s="20"/>
      <c r="K52" s="20"/>
    </row>
    <row r="53" spans="1:11">
      <c r="A53" s="18" t="s">
        <v>27</v>
      </c>
      <c r="B53" s="19">
        <f>((J38-A46)/(A51-A46))*PI()</f>
        <v>1.4481531324041861</v>
      </c>
      <c r="C53" s="19"/>
      <c r="D53" s="19"/>
      <c r="E53" s="20"/>
      <c r="F53" s="20"/>
      <c r="G53" s="20"/>
      <c r="H53" s="20"/>
      <c r="I53" s="20"/>
      <c r="J53" s="20"/>
      <c r="K53" s="20"/>
    </row>
    <row r="54" spans="1:11">
      <c r="A54" s="18"/>
      <c r="B54" s="19"/>
      <c r="C54" s="19"/>
      <c r="D54" s="19"/>
      <c r="E54" s="20"/>
      <c r="F54" s="20"/>
      <c r="G54" s="20"/>
      <c r="H54" s="20"/>
      <c r="I54" s="20"/>
      <c r="J54" s="20"/>
      <c r="K54" s="20"/>
    </row>
    <row r="55" spans="1:11">
      <c r="A55" s="18" t="s">
        <v>28</v>
      </c>
      <c r="B55" s="19" t="s">
        <v>29</v>
      </c>
      <c r="C55" s="19" t="s">
        <v>30</v>
      </c>
      <c r="D55" s="19"/>
      <c r="E55" s="20"/>
      <c r="F55" s="20"/>
      <c r="G55" s="20"/>
      <c r="H55" s="20"/>
      <c r="I55" s="20"/>
      <c r="J55" s="20"/>
      <c r="K55" s="20"/>
    </row>
    <row r="56" spans="1:11">
      <c r="A56" s="18" t="s">
        <v>31</v>
      </c>
      <c r="B56" s="19">
        <v>0</v>
      </c>
      <c r="C56" s="19">
        <v>0</v>
      </c>
      <c r="D56" s="19"/>
      <c r="E56" s="20"/>
      <c r="F56" s="20"/>
      <c r="G56" s="20"/>
      <c r="H56" s="20"/>
      <c r="I56" s="20"/>
      <c r="J56" s="20"/>
      <c r="K56" s="20"/>
    </row>
    <row r="57" spans="1:11">
      <c r="A57" s="18" t="s">
        <v>32</v>
      </c>
      <c r="B57" s="22">
        <f>-COS(B53)</f>
        <v>-0.12233597226759918</v>
      </c>
      <c r="C57" s="22">
        <f>SIN(B53)</f>
        <v>0.99248874547238131</v>
      </c>
      <c r="D57" s="22"/>
      <c r="E57" s="20"/>
      <c r="F57" s="20"/>
      <c r="G57" s="20"/>
      <c r="H57" s="20"/>
      <c r="I57" s="20"/>
      <c r="J57" s="20"/>
      <c r="K57" s="20"/>
    </row>
    <row r="58" spans="1:11">
      <c r="A58" s="20"/>
      <c r="B58" s="20"/>
      <c r="C58" s="20"/>
      <c r="D58" s="20"/>
      <c r="E58" s="20"/>
      <c r="F58" s="18" t="s">
        <v>40</v>
      </c>
      <c r="G58" s="19">
        <f>((E38-A46)/(A51-A46))*PI()</f>
        <v>0.66923326424408547</v>
      </c>
      <c r="H58" s="19"/>
      <c r="I58" s="20"/>
      <c r="J58" s="20"/>
      <c r="K58" s="20"/>
    </row>
    <row r="59" spans="1:11">
      <c r="A59" s="20"/>
      <c r="B59" s="20"/>
      <c r="C59" s="20"/>
      <c r="D59" s="20"/>
      <c r="E59" s="20"/>
      <c r="F59" s="18"/>
      <c r="G59" s="19"/>
      <c r="H59" s="19"/>
      <c r="I59" s="20"/>
      <c r="J59" s="20"/>
      <c r="K59" s="20"/>
    </row>
    <row r="60" spans="1:11">
      <c r="A60" s="20"/>
      <c r="B60" s="20"/>
      <c r="C60" s="20"/>
      <c r="D60" s="20"/>
      <c r="E60" s="20"/>
      <c r="F60" s="18" t="s">
        <v>28</v>
      </c>
      <c r="G60" s="19" t="s">
        <v>29</v>
      </c>
      <c r="H60" s="19" t="s">
        <v>30</v>
      </c>
      <c r="I60" s="20"/>
      <c r="J60" s="20"/>
      <c r="K60" s="20"/>
    </row>
    <row r="61" spans="1:11">
      <c r="A61" s="20"/>
      <c r="B61" s="20"/>
      <c r="C61" s="20"/>
      <c r="D61" s="20"/>
      <c r="E61" s="20"/>
      <c r="F61" s="18" t="s">
        <v>31</v>
      </c>
      <c r="G61" s="19">
        <v>0</v>
      </c>
      <c r="H61" s="19">
        <v>0</v>
      </c>
      <c r="I61" s="20"/>
      <c r="J61" s="20"/>
      <c r="K61" s="20"/>
    </row>
    <row r="62" spans="1:11">
      <c r="A62" s="20"/>
      <c r="B62" s="20"/>
      <c r="C62" s="20"/>
      <c r="D62" s="20"/>
      <c r="E62" s="20"/>
      <c r="F62" s="18" t="s">
        <v>32</v>
      </c>
      <c r="G62" s="22">
        <f>-COS(G58)</f>
        <v>-0.78429756759639346</v>
      </c>
      <c r="H62" s="22">
        <f>SIN(G58)</f>
        <v>0.62038482046418619</v>
      </c>
      <c r="I62" s="20"/>
      <c r="J62" s="20"/>
      <c r="K62" s="20"/>
    </row>
    <row r="63" spans="1:11">
      <c r="A63" s="20"/>
      <c r="B63" s="20"/>
      <c r="C63" s="20"/>
      <c r="D63" s="20"/>
      <c r="E63" s="20"/>
      <c r="F63" s="20"/>
      <c r="G63" s="20"/>
      <c r="H63" s="20"/>
      <c r="I63" s="20"/>
      <c r="J63" s="20"/>
      <c r="K63" s="20"/>
    </row>
    <row r="64" spans="1:11">
      <c r="A64" s="20"/>
      <c r="B64" s="20"/>
      <c r="C64" s="20"/>
      <c r="D64" s="20"/>
      <c r="E64" s="20"/>
      <c r="F64" s="20"/>
      <c r="G64" s="20"/>
      <c r="H64" s="20"/>
      <c r="I64" s="20"/>
      <c r="J64" s="20"/>
      <c r="K64" s="20"/>
    </row>
    <row r="65" spans="1:11">
      <c r="A65" s="20"/>
      <c r="B65" s="20"/>
      <c r="C65" s="20"/>
      <c r="D65" s="20"/>
      <c r="E65" s="20"/>
      <c r="F65" s="20"/>
      <c r="G65" s="20"/>
      <c r="H65" s="20"/>
      <c r="I65" s="20"/>
      <c r="J65" s="20"/>
      <c r="K65" s="20"/>
    </row>
    <row r="66" spans="1:11">
      <c r="A66" s="20"/>
      <c r="B66" s="20"/>
      <c r="C66" s="20"/>
      <c r="D66" s="20"/>
      <c r="E66" s="20"/>
      <c r="F66" s="20"/>
      <c r="G66" s="20"/>
      <c r="H66" s="20"/>
      <c r="I66" s="20"/>
      <c r="J66" s="20"/>
      <c r="K66" s="20"/>
    </row>
    <row r="67" spans="1:11">
      <c r="A67" s="20"/>
      <c r="B67" s="20"/>
      <c r="C67" s="20"/>
      <c r="D67" s="20"/>
      <c r="E67" s="20"/>
      <c r="F67" s="20"/>
      <c r="G67" s="20"/>
      <c r="H67" s="20"/>
      <c r="I67" s="20"/>
      <c r="J67" s="20"/>
      <c r="K67" s="20"/>
    </row>
    <row r="68" spans="1:11">
      <c r="A68" s="20"/>
      <c r="B68" s="20"/>
      <c r="C68" s="20"/>
      <c r="D68" s="20"/>
      <c r="E68" s="20"/>
      <c r="F68" s="20"/>
      <c r="G68" s="20"/>
      <c r="H68" s="20"/>
      <c r="I68" s="20"/>
      <c r="J68" s="20"/>
      <c r="K68" s="20"/>
    </row>
    <row r="69" spans="1:11">
      <c r="A69" s="20"/>
      <c r="B69" s="20"/>
      <c r="C69" s="20"/>
      <c r="D69" s="20"/>
      <c r="E69" s="20"/>
      <c r="F69" s="20"/>
      <c r="G69" s="20"/>
      <c r="H69" s="20"/>
      <c r="I69" s="20"/>
      <c r="J69" s="20"/>
      <c r="K69" s="20"/>
    </row>
    <row r="70" spans="1:11">
      <c r="A70" s="18" t="s">
        <v>33</v>
      </c>
      <c r="B70" s="19">
        <f>((K38-A46)/(A51-A46))*PI()</f>
        <v>1.9130154728829316</v>
      </c>
      <c r="C70" s="19"/>
      <c r="D70" s="19"/>
      <c r="E70" s="20"/>
      <c r="F70" s="20"/>
      <c r="G70" s="20"/>
      <c r="H70" s="20"/>
      <c r="I70" s="20"/>
      <c r="J70" s="20"/>
      <c r="K70" s="20"/>
    </row>
    <row r="71" spans="1:11">
      <c r="A71" s="18"/>
      <c r="B71" s="19"/>
      <c r="C71" s="19"/>
      <c r="D71" s="19"/>
      <c r="E71" s="20"/>
      <c r="F71" s="20"/>
      <c r="G71" s="20"/>
      <c r="H71" s="20"/>
      <c r="I71" s="20"/>
      <c r="J71" s="20"/>
      <c r="K71" s="20"/>
    </row>
    <row r="72" spans="1:11">
      <c r="A72" s="18" t="s">
        <v>28</v>
      </c>
      <c r="B72" s="19" t="s">
        <v>29</v>
      </c>
      <c r="C72" s="19" t="s">
        <v>30</v>
      </c>
      <c r="D72" s="19"/>
      <c r="E72" s="20"/>
      <c r="F72" s="20"/>
      <c r="G72" s="20"/>
      <c r="H72" s="20"/>
      <c r="I72" s="20"/>
      <c r="J72" s="20"/>
      <c r="K72" s="20"/>
    </row>
    <row r="73" spans="1:11">
      <c r="A73" s="18" t="s">
        <v>31</v>
      </c>
      <c r="B73" s="19">
        <v>0</v>
      </c>
      <c r="C73" s="19">
        <v>0</v>
      </c>
      <c r="D73" s="19"/>
      <c r="E73" s="20"/>
      <c r="F73" s="20"/>
      <c r="G73" s="20"/>
      <c r="H73" s="20"/>
      <c r="I73" s="20"/>
      <c r="J73" s="20"/>
      <c r="K73" s="20"/>
    </row>
    <row r="74" spans="1:11">
      <c r="A74" s="18" t="s">
        <v>32</v>
      </c>
      <c r="B74" s="22">
        <f>-COS(B70)</f>
        <v>0.3355783796051704</v>
      </c>
      <c r="C74" s="22">
        <f>SIN(B70)</f>
        <v>0.94201228821155414</v>
      </c>
      <c r="D74" s="22"/>
      <c r="E74" s="20"/>
      <c r="F74" s="20"/>
      <c r="G74" s="20"/>
      <c r="H74" s="20"/>
      <c r="I74" s="20"/>
      <c r="J74" s="20"/>
      <c r="K74" s="20"/>
    </row>
    <row r="75" spans="1:11">
      <c r="A75" s="20"/>
      <c r="B75" s="20"/>
      <c r="C75" s="20"/>
      <c r="D75" s="20"/>
      <c r="E75" s="20"/>
      <c r="F75" s="20"/>
      <c r="G75" s="20"/>
      <c r="H75" s="20"/>
      <c r="I75" s="20"/>
      <c r="J75" s="20"/>
      <c r="K75" s="20"/>
    </row>
  </sheetData>
  <mergeCells count="5">
    <mergeCell ref="A7:A8"/>
    <mergeCell ref="B7:B8"/>
    <mergeCell ref="F7:K7"/>
    <mergeCell ref="E7:E8"/>
    <mergeCell ref="C7:D7"/>
  </mergeCells>
  <printOptions horizontalCentered="1"/>
  <pageMargins left="0.78740157480314965" right="0.78740157480314965" top="0.78740157480314965" bottom="0.59055118110236227" header="0" footer="0"/>
  <pageSetup scale="74" orientation="portrait" verticalDpi="300" r:id="rId1"/>
  <headerFooter alignWithMargins="0"/>
  <ignoredErrors>
    <ignoredError sqref="E38" formula="1"/>
  </ignoredError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8"/>
  <sheetViews>
    <sheetView topLeftCell="H8" zoomScale="70" zoomScaleNormal="70" zoomScaleSheetLayoutView="100" workbookViewId="0">
      <selection activeCell="T17" sqref="T17:U17"/>
    </sheetView>
  </sheetViews>
  <sheetFormatPr baseColWidth="10" defaultColWidth="11.42578125" defaultRowHeight="16.5"/>
  <cols>
    <col min="1" max="1" width="13" style="2" customWidth="1"/>
    <col min="2" max="2" width="10.85546875" style="3" customWidth="1"/>
    <col min="3" max="3" width="8.5703125" style="2" customWidth="1"/>
    <col min="4" max="4" width="46.42578125" style="3" customWidth="1"/>
    <col min="5" max="5" width="13" style="3" customWidth="1"/>
    <col min="6" max="6" width="12.42578125" style="3" customWidth="1"/>
    <col min="7" max="7" width="18" style="3" customWidth="1"/>
    <col min="8" max="8" width="12.42578125" style="3" customWidth="1"/>
    <col min="9" max="9" width="17.7109375" style="3" customWidth="1"/>
    <col min="10" max="10" width="17.5703125" style="2" customWidth="1"/>
    <col min="11" max="12" width="13.140625" style="16" customWidth="1"/>
    <col min="13" max="13" width="12.7109375" style="16" customWidth="1"/>
    <col min="14" max="14" width="11.7109375" style="3" customWidth="1"/>
    <col min="15" max="15" width="12.7109375" style="2" customWidth="1"/>
    <col min="16" max="20" width="12.7109375" style="3" customWidth="1"/>
    <col min="21" max="23" width="10.7109375" style="3" customWidth="1"/>
    <col min="24" max="24" width="48.7109375" style="3" customWidth="1"/>
    <col min="25" max="25" width="14.140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54</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5"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7" t="s">
        <v>12</v>
      </c>
      <c r="O5" s="2837" t="s">
        <v>72</v>
      </c>
      <c r="P5" s="2839" t="s">
        <v>1</v>
      </c>
      <c r="Q5" s="2837" t="s">
        <v>13</v>
      </c>
      <c r="R5" s="2837" t="s">
        <v>14</v>
      </c>
      <c r="S5" s="2837" t="s">
        <v>16</v>
      </c>
      <c r="T5" s="2837" t="s">
        <v>15</v>
      </c>
      <c r="U5" s="2837" t="s">
        <v>89</v>
      </c>
      <c r="V5" s="2839" t="s">
        <v>6</v>
      </c>
      <c r="W5" s="2839" t="s">
        <v>7</v>
      </c>
      <c r="X5" s="2837" t="s">
        <v>0</v>
      </c>
      <c r="Y5" s="2838" t="s">
        <v>76</v>
      </c>
    </row>
    <row r="6" spans="1:25" ht="42.75" customHeight="1">
      <c r="A6" s="3006"/>
      <c r="B6" s="3006"/>
      <c r="C6" s="3006"/>
      <c r="D6" s="3006"/>
      <c r="E6" s="3006"/>
      <c r="F6" s="3006"/>
      <c r="G6" s="3006"/>
      <c r="H6" s="3006"/>
      <c r="I6" s="3006"/>
      <c r="J6" s="3006"/>
      <c r="K6" s="3006"/>
      <c r="L6" s="3006"/>
      <c r="M6" s="2848"/>
      <c r="N6" s="3007"/>
      <c r="O6" s="3007"/>
      <c r="P6" s="3008"/>
      <c r="Q6" s="3007"/>
      <c r="R6" s="3007"/>
      <c r="S6" s="3007"/>
      <c r="T6" s="3007"/>
      <c r="U6" s="3007"/>
      <c r="V6" s="3008"/>
      <c r="W6" s="3008"/>
      <c r="X6" s="3007"/>
      <c r="Y6" s="2848"/>
    </row>
    <row r="7" spans="1:25">
      <c r="A7" s="339"/>
      <c r="B7" s="522">
        <v>54</v>
      </c>
      <c r="C7" s="522" t="s">
        <v>100</v>
      </c>
      <c r="D7" s="523" t="s">
        <v>187</v>
      </c>
      <c r="E7" s="524"/>
      <c r="F7" s="339"/>
      <c r="G7" s="340"/>
      <c r="H7" s="339"/>
      <c r="I7" s="340"/>
      <c r="J7" s="340"/>
      <c r="K7" s="340"/>
      <c r="L7" s="340"/>
      <c r="M7" s="340"/>
      <c r="N7" s="524"/>
      <c r="O7" s="524"/>
      <c r="P7" s="525"/>
      <c r="Q7" s="525"/>
      <c r="R7" s="525"/>
      <c r="S7" s="525"/>
      <c r="T7" s="526"/>
      <c r="U7" s="526"/>
      <c r="V7" s="526"/>
      <c r="W7" s="526"/>
      <c r="X7" s="526"/>
      <c r="Y7" s="501"/>
    </row>
    <row r="8" spans="1:25">
      <c r="A8" s="340"/>
      <c r="B8" s="522">
        <v>5402</v>
      </c>
      <c r="C8" s="522" t="s">
        <v>101</v>
      </c>
      <c r="D8" s="523" t="s">
        <v>104</v>
      </c>
      <c r="E8" s="524"/>
      <c r="F8" s="339"/>
      <c r="G8" s="340"/>
      <c r="H8" s="339"/>
      <c r="I8" s="340"/>
      <c r="J8" s="340"/>
      <c r="K8" s="340"/>
      <c r="L8" s="340"/>
      <c r="M8" s="340"/>
      <c r="N8" s="524"/>
      <c r="O8" s="524"/>
      <c r="P8" s="525"/>
      <c r="Q8" s="525"/>
      <c r="R8" s="525"/>
      <c r="S8" s="525"/>
      <c r="T8" s="526"/>
      <c r="U8" s="526"/>
      <c r="V8" s="526"/>
      <c r="W8" s="526"/>
      <c r="X8" s="526"/>
      <c r="Y8" s="501"/>
    </row>
    <row r="9" spans="1:25">
      <c r="A9" s="342"/>
      <c r="B9" s="527">
        <v>5402001</v>
      </c>
      <c r="C9" s="527" t="s">
        <v>102</v>
      </c>
      <c r="D9" s="528" t="s">
        <v>105</v>
      </c>
      <c r="E9" s="529"/>
      <c r="F9" s="341"/>
      <c r="G9" s="342"/>
      <c r="H9" s="341"/>
      <c r="I9" s="342"/>
      <c r="J9" s="342"/>
      <c r="K9" s="342"/>
      <c r="L9" s="342"/>
      <c r="M9" s="342"/>
      <c r="N9" s="529"/>
      <c r="O9" s="529"/>
      <c r="P9" s="530"/>
      <c r="Q9" s="530"/>
      <c r="R9" s="530"/>
      <c r="S9" s="530"/>
      <c r="T9" s="531"/>
      <c r="U9" s="531"/>
      <c r="V9" s="531"/>
      <c r="W9" s="531"/>
      <c r="X9" s="531"/>
      <c r="Y9" s="510"/>
    </row>
    <row r="10" spans="1:25">
      <c r="A10" s="328"/>
      <c r="B10" s="278">
        <v>54020010021</v>
      </c>
      <c r="C10" s="278" t="s">
        <v>103</v>
      </c>
      <c r="D10" s="532" t="s">
        <v>1061</v>
      </c>
      <c r="E10" s="277"/>
      <c r="F10" s="337">
        <v>500</v>
      </c>
      <c r="G10" s="328"/>
      <c r="H10" s="278"/>
      <c r="I10" s="328"/>
      <c r="J10" s="328"/>
      <c r="K10" s="328"/>
      <c r="L10" s="328"/>
      <c r="M10" s="328"/>
      <c r="N10" s="277"/>
      <c r="O10" s="277"/>
      <c r="P10" s="533"/>
      <c r="Q10" s="533"/>
      <c r="R10" s="533"/>
      <c r="S10" s="533"/>
      <c r="T10" s="534"/>
      <c r="U10" s="534"/>
      <c r="V10" s="534"/>
      <c r="W10" s="534"/>
      <c r="X10" s="534"/>
      <c r="Y10" s="503"/>
    </row>
    <row r="11" spans="1:25" ht="16.5" customHeight="1">
      <c r="A11" s="2972">
        <v>4135</v>
      </c>
      <c r="B11" s="2972"/>
      <c r="C11" s="2972" t="s">
        <v>451</v>
      </c>
      <c r="D11" s="2998" t="s">
        <v>1062</v>
      </c>
      <c r="E11" s="334" t="s">
        <v>1063</v>
      </c>
      <c r="F11" s="321"/>
      <c r="G11" s="294"/>
      <c r="H11" s="535">
        <f>SUM(H12:H15)</f>
        <v>0</v>
      </c>
      <c r="I11" s="332"/>
      <c r="J11" s="332"/>
      <c r="K11" s="294"/>
      <c r="L11" s="536">
        <f>L12+L13+L14+L15</f>
        <v>1</v>
      </c>
      <c r="M11" s="515"/>
      <c r="N11" s="537">
        <f>N12+N15+N13+N14</f>
        <v>0</v>
      </c>
      <c r="O11" s="3005">
        <f>IF(Q11&gt;0, N11,"na")</f>
        <v>0</v>
      </c>
      <c r="P11" s="538">
        <f>P12+P13+P14+P15</f>
        <v>1000000000</v>
      </c>
      <c r="Q11" s="538">
        <f>Q12+Q13+Q14+Q15</f>
        <v>1000000000</v>
      </c>
      <c r="R11" s="538">
        <f>R12+R15+R13+R14</f>
        <v>350000000</v>
      </c>
      <c r="S11" s="286">
        <f>S12+S15+S13+S14</f>
        <v>0</v>
      </c>
      <c r="T11" s="539">
        <f t="shared" ref="T11:U15" si="0">IF(Q11=0,0,R11/Q11)</f>
        <v>0.35</v>
      </c>
      <c r="U11" s="539">
        <f t="shared" si="0"/>
        <v>0</v>
      </c>
      <c r="V11" s="515"/>
      <c r="W11" s="515"/>
      <c r="X11" s="515"/>
      <c r="Y11" s="2998" t="s">
        <v>55</v>
      </c>
    </row>
    <row r="12" spans="1:25" ht="108" customHeight="1">
      <c r="A12" s="2999"/>
      <c r="B12" s="2999"/>
      <c r="C12" s="2999"/>
      <c r="D12" s="2998"/>
      <c r="E12" s="1406" t="s">
        <v>1064</v>
      </c>
      <c r="F12" s="535"/>
      <c r="G12" s="3001" t="s">
        <v>1065</v>
      </c>
      <c r="H12" s="535"/>
      <c r="I12" s="331" t="s">
        <v>1066</v>
      </c>
      <c r="J12" s="331" t="s">
        <v>1067</v>
      </c>
      <c r="K12" s="294">
        <v>2</v>
      </c>
      <c r="L12" s="536">
        <v>0.25</v>
      </c>
      <c r="M12" s="292"/>
      <c r="N12" s="537">
        <v>0</v>
      </c>
      <c r="O12" s="2999"/>
      <c r="P12" s="286">
        <v>250000000</v>
      </c>
      <c r="Q12" s="286">
        <v>250000000</v>
      </c>
      <c r="R12" s="286">
        <v>250000000</v>
      </c>
      <c r="S12" s="286">
        <v>0</v>
      </c>
      <c r="T12" s="539">
        <f t="shared" si="0"/>
        <v>1</v>
      </c>
      <c r="U12" s="539">
        <f t="shared" si="0"/>
        <v>0</v>
      </c>
      <c r="V12" s="1407"/>
      <c r="W12" s="540"/>
      <c r="X12" s="541"/>
      <c r="Y12" s="2999"/>
    </row>
    <row r="13" spans="1:25" ht="54" customHeight="1">
      <c r="A13" s="2999"/>
      <c r="B13" s="2999"/>
      <c r="C13" s="2999"/>
      <c r="D13" s="2998"/>
      <c r="E13" s="1406" t="s">
        <v>1068</v>
      </c>
      <c r="F13" s="542"/>
      <c r="G13" s="3001"/>
      <c r="H13" s="542"/>
      <c r="I13" s="331" t="s">
        <v>1069</v>
      </c>
      <c r="J13" s="331" t="s">
        <v>233</v>
      </c>
      <c r="K13" s="294">
        <v>0</v>
      </c>
      <c r="L13" s="536">
        <v>0.25</v>
      </c>
      <c r="M13" s="543"/>
      <c r="N13" s="537">
        <v>0</v>
      </c>
      <c r="O13" s="2999"/>
      <c r="P13" s="286">
        <v>250000000</v>
      </c>
      <c r="Q13" s="286">
        <v>250000000</v>
      </c>
      <c r="R13" s="286">
        <v>0</v>
      </c>
      <c r="S13" s="286">
        <v>0</v>
      </c>
      <c r="T13" s="539">
        <f t="shared" si="0"/>
        <v>0</v>
      </c>
      <c r="U13" s="539">
        <f t="shared" si="0"/>
        <v>0</v>
      </c>
      <c r="V13" s="1407"/>
      <c r="W13" s="540"/>
      <c r="X13" s="541"/>
      <c r="Y13" s="2999"/>
    </row>
    <row r="14" spans="1:25" ht="94.5">
      <c r="A14" s="2999"/>
      <c r="B14" s="2999"/>
      <c r="C14" s="2999"/>
      <c r="D14" s="2998"/>
      <c r="E14" s="1406" t="s">
        <v>1070</v>
      </c>
      <c r="F14" s="535"/>
      <c r="G14" s="3001"/>
      <c r="H14" s="535"/>
      <c r="I14" s="331" t="s">
        <v>1071</v>
      </c>
      <c r="J14" s="331" t="s">
        <v>110</v>
      </c>
      <c r="K14" s="294">
        <v>0</v>
      </c>
      <c r="L14" s="536">
        <v>0.25</v>
      </c>
      <c r="M14" s="543"/>
      <c r="N14" s="537">
        <v>0</v>
      </c>
      <c r="O14" s="2999"/>
      <c r="P14" s="286">
        <v>320000000</v>
      </c>
      <c r="Q14" s="286">
        <v>320000000</v>
      </c>
      <c r="R14" s="286">
        <v>0</v>
      </c>
      <c r="S14" s="286">
        <v>0</v>
      </c>
      <c r="T14" s="539">
        <f t="shared" si="0"/>
        <v>0</v>
      </c>
      <c r="U14" s="539">
        <f t="shared" si="0"/>
        <v>0</v>
      </c>
      <c r="V14" s="1407"/>
      <c r="W14" s="540"/>
      <c r="X14" s="541"/>
      <c r="Y14" s="2999"/>
    </row>
    <row r="15" spans="1:25" ht="94.5" customHeight="1">
      <c r="A15" s="3003"/>
      <c r="B15" s="3003"/>
      <c r="C15" s="3003"/>
      <c r="D15" s="3004"/>
      <c r="E15" s="544" t="s">
        <v>1072</v>
      </c>
      <c r="F15" s="545"/>
      <c r="G15" s="3002"/>
      <c r="H15" s="545"/>
      <c r="I15" s="344" t="s">
        <v>1073</v>
      </c>
      <c r="J15" s="344" t="s">
        <v>106</v>
      </c>
      <c r="K15" s="343">
        <v>300</v>
      </c>
      <c r="L15" s="546">
        <v>0.25</v>
      </c>
      <c r="M15" s="547">
        <v>0</v>
      </c>
      <c r="N15" s="1408">
        <v>0</v>
      </c>
      <c r="O15" s="3000"/>
      <c r="P15" s="345">
        <v>180000000</v>
      </c>
      <c r="Q15" s="345">
        <v>180000000</v>
      </c>
      <c r="R15" s="345">
        <v>100000000</v>
      </c>
      <c r="S15" s="345">
        <v>0</v>
      </c>
      <c r="T15" s="539">
        <f t="shared" si="0"/>
        <v>0.55555555555555558</v>
      </c>
      <c r="U15" s="539">
        <f t="shared" si="0"/>
        <v>0</v>
      </c>
      <c r="V15" s="1407"/>
      <c r="W15" s="540"/>
      <c r="X15" s="541"/>
      <c r="Y15" s="3000"/>
    </row>
    <row r="16" spans="1:25">
      <c r="A16" s="346"/>
      <c r="B16" s="346"/>
      <c r="C16" s="346"/>
      <c r="D16" s="346"/>
      <c r="E16" s="348"/>
      <c r="F16" s="347"/>
      <c r="G16" s="347"/>
      <c r="H16" s="347"/>
      <c r="I16" s="347"/>
      <c r="J16" s="346"/>
      <c r="K16" s="346"/>
      <c r="L16" s="548"/>
      <c r="M16" s="548"/>
      <c r="N16" s="548"/>
      <c r="O16" s="548"/>
      <c r="P16" s="549"/>
      <c r="Q16" s="549"/>
      <c r="R16" s="549"/>
      <c r="S16" s="549"/>
      <c r="T16" s="53"/>
      <c r="U16" s="53"/>
      <c r="V16" s="53"/>
      <c r="W16" s="53"/>
      <c r="X16" s="53"/>
      <c r="Y16" s="55"/>
    </row>
    <row r="17" spans="1:25">
      <c r="A17" s="317"/>
      <c r="B17" s="350" t="s">
        <v>36</v>
      </c>
      <c r="C17" s="350">
        <f>COUNTIF(C7:C15,"pr")</f>
        <v>1</v>
      </c>
      <c r="D17" s="317"/>
      <c r="E17" s="317" t="s">
        <v>112</v>
      </c>
      <c r="F17" s="317"/>
      <c r="G17" s="44">
        <f>COUNTIF(O7:O15,"na")</f>
        <v>0</v>
      </c>
      <c r="H17" s="317"/>
      <c r="I17" s="317"/>
      <c r="J17" s="350"/>
      <c r="K17" s="317"/>
      <c r="L17" s="550"/>
      <c r="M17" s="551"/>
      <c r="N17" s="49" t="s">
        <v>1074</v>
      </c>
      <c r="O17" s="552">
        <f>AVERAGE(O7:O15)</f>
        <v>0</v>
      </c>
      <c r="P17" s="54">
        <f>P11</f>
        <v>1000000000</v>
      </c>
      <c r="Q17" s="54">
        <f>Q11</f>
        <v>1000000000</v>
      </c>
      <c r="R17" s="54">
        <f>R11</f>
        <v>350000000</v>
      </c>
      <c r="S17" s="54">
        <f>S11</f>
        <v>0</v>
      </c>
      <c r="T17" s="1409">
        <f>IF(Q17=0,0,R17/Q17)</f>
        <v>0.35</v>
      </c>
      <c r="U17" s="1409">
        <f>IF(R17=0,0,S17/R17)</f>
        <v>0</v>
      </c>
      <c r="V17" s="51"/>
      <c r="W17" s="51"/>
      <c r="X17" s="51"/>
      <c r="Y17" s="56"/>
    </row>
    <row r="18" spans="1:25">
      <c r="N18" s="553" t="s">
        <v>119</v>
      </c>
      <c r="O18" s="554">
        <f>COUNTIF(O7:O15,"=0%")</f>
        <v>1</v>
      </c>
      <c r="P18" s="54">
        <v>1000000000</v>
      </c>
      <c r="Q18" s="54">
        <v>1000000000</v>
      </c>
      <c r="R18" s="54">
        <v>350000000</v>
      </c>
      <c r="S18" s="54">
        <v>0</v>
      </c>
    </row>
  </sheetData>
  <mergeCells count="39">
    <mergeCell ref="A1:X1"/>
    <mergeCell ref="Y5:Y6"/>
    <mergeCell ref="S5:S6"/>
    <mergeCell ref="T5:T6"/>
    <mergeCell ref="U5:U6"/>
    <mergeCell ref="V5:V6"/>
    <mergeCell ref="W5:W6"/>
    <mergeCell ref="X5:X6"/>
    <mergeCell ref="P5:P6"/>
    <mergeCell ref="Q5:Q6"/>
    <mergeCell ref="G5:G6"/>
    <mergeCell ref="H5:H6"/>
    <mergeCell ref="I5:I6"/>
    <mergeCell ref="R5:R6"/>
    <mergeCell ref="M5:M6"/>
    <mergeCell ref="J5:J6"/>
    <mergeCell ref="K5:K6"/>
    <mergeCell ref="O5:O6"/>
    <mergeCell ref="A2:Y2"/>
    <mergeCell ref="A3:B3"/>
    <mergeCell ref="C3:R3"/>
    <mergeCell ref="S3:U3"/>
    <mergeCell ref="V3:W3"/>
    <mergeCell ref="A4:Y4"/>
    <mergeCell ref="A5:A6"/>
    <mergeCell ref="B5:B6"/>
    <mergeCell ref="C5:C6"/>
    <mergeCell ref="D5:D6"/>
    <mergeCell ref="E5:E6"/>
    <mergeCell ref="F5:F6"/>
    <mergeCell ref="L5:L6"/>
    <mergeCell ref="N5:N6"/>
    <mergeCell ref="Y11:Y15"/>
    <mergeCell ref="G12:G15"/>
    <mergeCell ref="A11:A15"/>
    <mergeCell ref="B11:B15"/>
    <mergeCell ref="C11:C15"/>
    <mergeCell ref="D11:D15"/>
    <mergeCell ref="O11:O15"/>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63"/>
  <sheetViews>
    <sheetView topLeftCell="E59" zoomScale="80" zoomScaleNormal="80" zoomScaleSheetLayoutView="100" workbookViewId="0">
      <selection activeCell="O67" sqref="O67"/>
    </sheetView>
  </sheetViews>
  <sheetFormatPr baseColWidth="10" defaultColWidth="11.42578125" defaultRowHeight="16.5"/>
  <cols>
    <col min="1" max="1" width="13" style="2" customWidth="1"/>
    <col min="2" max="2" width="14.85546875" style="3" customWidth="1"/>
    <col min="3" max="3" width="8.5703125" style="2" customWidth="1"/>
    <col min="4" max="4" width="46.42578125" style="3" customWidth="1"/>
    <col min="5" max="5" width="13.28515625" style="3" customWidth="1"/>
    <col min="6" max="6" width="12.42578125" style="3" customWidth="1"/>
    <col min="7" max="7" width="17.85546875" style="3" customWidth="1"/>
    <col min="8" max="8" width="12.42578125" style="3" customWidth="1"/>
    <col min="9" max="9" width="18.85546875" style="3" customWidth="1"/>
    <col min="10" max="10" width="17.5703125" style="2" customWidth="1"/>
    <col min="11" max="12" width="13.140625" style="16" customWidth="1"/>
    <col min="13" max="13" width="12.7109375" style="16" customWidth="1"/>
    <col min="14" max="14" width="11.5703125" style="3" customWidth="1"/>
    <col min="15" max="15" width="12.7109375" style="2" customWidth="1"/>
    <col min="16" max="20" width="12.7109375" style="3" customWidth="1"/>
    <col min="21" max="23" width="10.7109375" style="3" customWidth="1"/>
    <col min="24" max="24" width="32.7109375" style="3" customWidth="1"/>
    <col min="25" max="25" width="18.28515625" style="17" customWidth="1"/>
    <col min="26" max="26" width="11.42578125" style="3"/>
    <col min="27" max="27" width="12.42578125" style="3" bestFit="1" customWidth="1"/>
    <col min="28" max="16384" width="11.42578125" style="3"/>
  </cols>
  <sheetData>
    <row r="1" spans="1:26" ht="99.95" customHeight="1">
      <c r="A1" s="3012"/>
      <c r="B1" s="3012"/>
      <c r="C1" s="3012"/>
      <c r="D1" s="3012"/>
      <c r="E1" s="3012"/>
      <c r="F1" s="3012"/>
      <c r="G1" s="3012"/>
      <c r="H1" s="3012"/>
      <c r="I1" s="3012"/>
      <c r="J1" s="3012"/>
      <c r="K1" s="3012"/>
      <c r="L1" s="3012"/>
      <c r="M1" s="3012"/>
      <c r="N1" s="3012"/>
      <c r="O1" s="3012"/>
      <c r="P1" s="3012"/>
      <c r="Q1" s="3012"/>
      <c r="R1" s="3012"/>
      <c r="S1" s="3012"/>
      <c r="T1" s="3012"/>
      <c r="U1" s="3012"/>
      <c r="V1" s="3012"/>
      <c r="W1" s="3012"/>
      <c r="X1" s="3012"/>
    </row>
    <row r="2" spans="1:26" ht="25.5" customHeight="1">
      <c r="A2" s="2951"/>
      <c r="B2" s="2952"/>
      <c r="C2" s="2952"/>
      <c r="D2" s="2952"/>
      <c r="E2" s="2952"/>
      <c r="F2" s="2952"/>
      <c r="G2" s="2952"/>
      <c r="H2" s="2952"/>
      <c r="I2" s="2952"/>
      <c r="J2" s="2952"/>
      <c r="K2" s="2952"/>
      <c r="L2" s="2952"/>
      <c r="M2" s="2952"/>
      <c r="N2" s="2952"/>
      <c r="O2" s="2952"/>
      <c r="P2" s="2952"/>
      <c r="Q2" s="2952"/>
      <c r="R2" s="2952"/>
      <c r="S2" s="2952"/>
      <c r="T2" s="2952"/>
      <c r="U2" s="2952"/>
      <c r="V2" s="2952"/>
      <c r="W2" s="2952"/>
      <c r="X2" s="2952"/>
      <c r="Y2" s="2953"/>
    </row>
    <row r="3" spans="1:26" s="27" customFormat="1" ht="25.5" customHeight="1">
      <c r="A3" s="2954" t="s">
        <v>255</v>
      </c>
      <c r="B3" s="2954"/>
      <c r="C3" s="2954" t="s">
        <v>270</v>
      </c>
      <c r="D3" s="2954"/>
      <c r="E3" s="2954"/>
      <c r="F3" s="2954"/>
      <c r="G3" s="2954"/>
      <c r="H3" s="2954"/>
      <c r="I3" s="2954"/>
      <c r="J3" s="2954"/>
      <c r="K3" s="2954"/>
      <c r="L3" s="2954"/>
      <c r="M3" s="2954"/>
      <c r="N3" s="2954"/>
      <c r="O3" s="2954"/>
      <c r="P3" s="2954"/>
      <c r="Q3" s="2954"/>
      <c r="R3" s="2954"/>
      <c r="S3" s="2954"/>
      <c r="T3" s="2834" t="s">
        <v>17</v>
      </c>
      <c r="U3" s="2834"/>
      <c r="V3" s="2835">
        <v>45473</v>
      </c>
      <c r="W3" s="2834"/>
      <c r="X3" s="40" t="s">
        <v>5</v>
      </c>
      <c r="Y3" s="42">
        <v>2024</v>
      </c>
      <c r="Z3" s="50"/>
    </row>
    <row r="4" spans="1:26" ht="18">
      <c r="A4" s="2950"/>
      <c r="B4" s="2950"/>
      <c r="C4" s="2950"/>
      <c r="D4" s="2950"/>
      <c r="E4" s="2950"/>
      <c r="F4" s="2950"/>
      <c r="G4" s="2950"/>
      <c r="H4" s="2950"/>
      <c r="I4" s="2950"/>
      <c r="J4" s="2950"/>
      <c r="K4" s="2950"/>
      <c r="L4" s="2950"/>
      <c r="M4" s="2950"/>
      <c r="N4" s="2950"/>
      <c r="O4" s="2950"/>
      <c r="P4" s="2950"/>
      <c r="Q4" s="2950"/>
      <c r="R4" s="2950"/>
      <c r="S4" s="2950"/>
      <c r="T4" s="2950"/>
      <c r="U4" s="2950"/>
      <c r="V4" s="2950"/>
      <c r="W4" s="2950"/>
      <c r="X4" s="2950"/>
      <c r="Y4" s="3"/>
      <c r="Z4" s="2"/>
    </row>
    <row r="5" spans="1:26"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7" t="s">
        <v>12</v>
      </c>
      <c r="O5" s="2837" t="s">
        <v>72</v>
      </c>
      <c r="P5" s="2839" t="s">
        <v>1</v>
      </c>
      <c r="Q5" s="2837" t="s">
        <v>13</v>
      </c>
      <c r="R5" s="2837" t="s">
        <v>14</v>
      </c>
      <c r="S5" s="2837" t="s">
        <v>16</v>
      </c>
      <c r="T5" s="2837" t="s">
        <v>15</v>
      </c>
      <c r="U5" s="2837" t="s">
        <v>89</v>
      </c>
      <c r="V5" s="2839" t="s">
        <v>6</v>
      </c>
      <c r="W5" s="2839" t="s">
        <v>256</v>
      </c>
      <c r="X5" s="2837" t="s">
        <v>257</v>
      </c>
      <c r="Y5" s="2838" t="s">
        <v>76</v>
      </c>
      <c r="Z5" s="2"/>
    </row>
    <row r="6" spans="1:26" ht="42.75" customHeight="1">
      <c r="A6" s="3006"/>
      <c r="B6" s="3006"/>
      <c r="C6" s="3006"/>
      <c r="D6" s="3006"/>
      <c r="E6" s="3006"/>
      <c r="F6" s="3006"/>
      <c r="G6" s="3006"/>
      <c r="H6" s="3006"/>
      <c r="I6" s="3006"/>
      <c r="J6" s="3006"/>
      <c r="K6" s="3006"/>
      <c r="L6" s="3006"/>
      <c r="M6" s="2848"/>
      <c r="N6" s="3007"/>
      <c r="O6" s="3007"/>
      <c r="P6" s="3008"/>
      <c r="Q6" s="3007"/>
      <c r="R6" s="3007"/>
      <c r="S6" s="3007"/>
      <c r="T6" s="3007"/>
      <c r="U6" s="3007"/>
      <c r="V6" s="3008"/>
      <c r="W6" s="3008"/>
      <c r="X6" s="3007"/>
      <c r="Y6" s="2848"/>
      <c r="Z6" s="2"/>
    </row>
    <row r="7" spans="1:26">
      <c r="A7" s="86"/>
      <c r="B7" s="82">
        <v>54</v>
      </c>
      <c r="C7" s="82" t="s">
        <v>100</v>
      </c>
      <c r="D7" s="1410" t="s">
        <v>108</v>
      </c>
      <c r="E7" s="1261"/>
      <c r="F7" s="1277"/>
      <c r="G7" s="1262"/>
      <c r="H7" s="1411"/>
      <c r="I7" s="1262"/>
      <c r="J7" s="1262"/>
      <c r="K7" s="1262"/>
      <c r="L7" s="1262"/>
      <c r="M7" s="76"/>
      <c r="N7" s="1412"/>
      <c r="O7" s="1412"/>
      <c r="P7" s="1263"/>
      <c r="Q7" s="88"/>
      <c r="R7" s="88"/>
      <c r="S7" s="88"/>
      <c r="T7" s="88"/>
      <c r="U7" s="88"/>
      <c r="V7" s="88"/>
      <c r="W7" s="88"/>
      <c r="X7" s="88"/>
      <c r="Y7" s="1413"/>
    </row>
    <row r="8" spans="1:26">
      <c r="A8" s="86"/>
      <c r="B8" s="82">
        <v>5401</v>
      </c>
      <c r="C8" s="82" t="s">
        <v>101</v>
      </c>
      <c r="D8" s="81" t="s">
        <v>120</v>
      </c>
      <c r="E8" s="1261"/>
      <c r="F8" s="1277"/>
      <c r="G8" s="1262"/>
      <c r="H8" s="1411"/>
      <c r="I8" s="1262"/>
      <c r="J8" s="1262"/>
      <c r="K8" s="1262"/>
      <c r="L8" s="1262"/>
      <c r="M8" s="76"/>
      <c r="N8" s="1412"/>
      <c r="O8" s="1412"/>
      <c r="P8" s="1263"/>
      <c r="Q8" s="88"/>
      <c r="R8" s="88"/>
      <c r="S8" s="88"/>
      <c r="T8" s="88"/>
      <c r="U8" s="88"/>
      <c r="V8" s="88"/>
      <c r="W8" s="88"/>
      <c r="X8" s="88"/>
      <c r="Y8" s="1262"/>
    </row>
    <row r="9" spans="1:26">
      <c r="A9" s="86"/>
      <c r="B9" s="94">
        <v>5401001</v>
      </c>
      <c r="C9" s="94" t="s">
        <v>102</v>
      </c>
      <c r="D9" s="1414" t="s">
        <v>188</v>
      </c>
      <c r="E9" s="1261"/>
      <c r="F9" s="1277"/>
      <c r="G9" s="1262"/>
      <c r="H9" s="1411"/>
      <c r="I9" s="1262"/>
      <c r="J9" s="1262"/>
      <c r="K9" s="1262"/>
      <c r="L9" s="1262"/>
      <c r="M9" s="76"/>
      <c r="N9" s="654"/>
      <c r="O9" s="654"/>
      <c r="P9" s="1263"/>
      <c r="Q9" s="88"/>
      <c r="R9" s="88"/>
      <c r="S9" s="88"/>
      <c r="T9" s="88"/>
      <c r="U9" s="88"/>
      <c r="V9" s="88"/>
      <c r="W9" s="88"/>
      <c r="X9" s="88"/>
      <c r="Y9" s="1262"/>
    </row>
    <row r="10" spans="1:26" ht="25.5">
      <c r="A10" s="86"/>
      <c r="B10" s="70">
        <v>54010010001</v>
      </c>
      <c r="C10" s="70" t="s">
        <v>103</v>
      </c>
      <c r="D10" s="71" t="s">
        <v>1075</v>
      </c>
      <c r="E10" s="1261"/>
      <c r="F10" s="72">
        <v>2</v>
      </c>
      <c r="G10" s="88"/>
      <c r="H10" s="1415"/>
      <c r="I10" s="1262"/>
      <c r="J10" s="1262"/>
      <c r="K10" s="1262"/>
      <c r="L10" s="1262"/>
      <c r="M10" s="76"/>
      <c r="N10" s="654"/>
      <c r="O10" s="654"/>
      <c r="P10" s="1263"/>
      <c r="Q10" s="88"/>
      <c r="R10" s="88"/>
      <c r="S10" s="88"/>
      <c r="T10" s="88"/>
      <c r="U10" s="88"/>
      <c r="V10" s="88"/>
      <c r="W10" s="88"/>
      <c r="X10" s="88"/>
      <c r="Y10" s="1262"/>
    </row>
    <row r="11" spans="1:26" ht="16.5" customHeight="1">
      <c r="A11" s="2853">
        <v>4137</v>
      </c>
      <c r="B11" s="2853"/>
      <c r="C11" s="2853" t="s">
        <v>451</v>
      </c>
      <c r="D11" s="2853" t="s">
        <v>1076</v>
      </c>
      <c r="E11" s="1416" t="s">
        <v>1077</v>
      </c>
      <c r="F11" s="128"/>
      <c r="G11" s="110"/>
      <c r="H11" s="605">
        <f>+H12+H13</f>
        <v>0</v>
      </c>
      <c r="I11" s="1417"/>
      <c r="J11" s="1417"/>
      <c r="K11" s="1418">
        <f>K12+K13</f>
        <v>2</v>
      </c>
      <c r="L11" s="1141">
        <f>+L12+L13</f>
        <v>1</v>
      </c>
      <c r="M11" s="208">
        <v>0</v>
      </c>
      <c r="N11" s="96">
        <f>+N12+N13</f>
        <v>0.30000000000000004</v>
      </c>
      <c r="O11" s="2922">
        <f>+N12+N13</f>
        <v>0.30000000000000004</v>
      </c>
      <c r="P11" s="97">
        <f t="shared" ref="P11:S11" si="0">+P12+P13</f>
        <v>200000000</v>
      </c>
      <c r="Q11" s="97">
        <f t="shared" si="0"/>
        <v>200000000</v>
      </c>
      <c r="R11" s="97">
        <f t="shared" si="0"/>
        <v>112744000</v>
      </c>
      <c r="S11" s="97">
        <f t="shared" si="0"/>
        <v>54912000</v>
      </c>
      <c r="T11" s="215">
        <f t="shared" ref="T11:U13" si="1">+R11/Q11</f>
        <v>0.56372</v>
      </c>
      <c r="U11" s="215">
        <f t="shared" si="1"/>
        <v>0.48705030866387566</v>
      </c>
      <c r="V11" s="73"/>
      <c r="W11" s="73"/>
      <c r="X11" s="73"/>
      <c r="Y11" s="1417"/>
    </row>
    <row r="12" spans="1:26" ht="54" customHeight="1">
      <c r="A12" s="3009"/>
      <c r="B12" s="3009"/>
      <c r="C12" s="3009"/>
      <c r="D12" s="3009"/>
      <c r="E12" s="1416" t="s">
        <v>1078</v>
      </c>
      <c r="F12" s="128"/>
      <c r="G12" s="2921" t="s">
        <v>1075</v>
      </c>
      <c r="H12" s="605">
        <v>0</v>
      </c>
      <c r="I12" s="1419" t="s">
        <v>1079</v>
      </c>
      <c r="J12" s="1420" t="s">
        <v>124</v>
      </c>
      <c r="K12" s="1421" t="s">
        <v>4906</v>
      </c>
      <c r="L12" s="228">
        <v>0.5</v>
      </c>
      <c r="M12" s="1422">
        <v>0</v>
      </c>
      <c r="N12" s="228">
        <v>0.1</v>
      </c>
      <c r="O12" s="3009"/>
      <c r="P12" s="1423">
        <v>91316656</v>
      </c>
      <c r="Q12" s="1423">
        <v>91316656</v>
      </c>
      <c r="R12" s="1423">
        <v>22829160</v>
      </c>
      <c r="S12" s="1423">
        <v>7609720</v>
      </c>
      <c r="T12" s="1424">
        <f t="shared" si="1"/>
        <v>0.24999995619638107</v>
      </c>
      <c r="U12" s="1424">
        <f t="shared" si="1"/>
        <v>0.33333333333333331</v>
      </c>
      <c r="V12" s="1425">
        <v>45413</v>
      </c>
      <c r="W12" s="1425">
        <v>45657</v>
      </c>
      <c r="X12" s="1426" t="s">
        <v>4907</v>
      </c>
      <c r="Y12" s="2853" t="s">
        <v>1080</v>
      </c>
    </row>
    <row r="13" spans="1:26" ht="175.5" customHeight="1">
      <c r="A13" s="3010"/>
      <c r="B13" s="3010"/>
      <c r="C13" s="3010"/>
      <c r="D13" s="3010"/>
      <c r="E13" s="1416" t="s">
        <v>1081</v>
      </c>
      <c r="F13" s="72"/>
      <c r="G13" s="3010"/>
      <c r="H13" s="605">
        <v>0</v>
      </c>
      <c r="I13" s="1419" t="s">
        <v>1082</v>
      </c>
      <c r="J13" s="1420" t="s">
        <v>193</v>
      </c>
      <c r="K13" s="1421">
        <v>1</v>
      </c>
      <c r="L13" s="228">
        <v>0.5</v>
      </c>
      <c r="M13" s="1422">
        <v>0</v>
      </c>
      <c r="N13" s="228">
        <v>0.2</v>
      </c>
      <c r="O13" s="3010"/>
      <c r="P13" s="1423">
        <v>108683344</v>
      </c>
      <c r="Q13" s="1423">
        <v>108683344</v>
      </c>
      <c r="R13" s="1423">
        <v>89914840</v>
      </c>
      <c r="S13" s="1423">
        <v>47302280</v>
      </c>
      <c r="T13" s="1424">
        <f t="shared" si="1"/>
        <v>0.82731020863693705</v>
      </c>
      <c r="U13" s="1424">
        <f t="shared" si="1"/>
        <v>0.52607867622296833</v>
      </c>
      <c r="V13" s="1425">
        <v>45316</v>
      </c>
      <c r="W13" s="1425">
        <v>45657</v>
      </c>
      <c r="X13" s="1426" t="s">
        <v>4908</v>
      </c>
      <c r="Y13" s="3010"/>
    </row>
    <row r="14" spans="1:26">
      <c r="A14" s="86"/>
      <c r="B14" s="82">
        <v>5402</v>
      </c>
      <c r="C14" s="82" t="s">
        <v>101</v>
      </c>
      <c r="D14" s="81" t="s">
        <v>104</v>
      </c>
      <c r="E14" s="1416"/>
      <c r="F14" s="1428"/>
      <c r="G14" s="1262"/>
      <c r="H14" s="1411"/>
      <c r="I14" s="1262"/>
      <c r="J14" s="1262"/>
      <c r="K14" s="1420"/>
      <c r="L14" s="1420"/>
      <c r="M14" s="216"/>
      <c r="N14" s="1429"/>
      <c r="O14" s="1430"/>
      <c r="P14" s="1420"/>
      <c r="Q14" s="88"/>
      <c r="R14" s="88"/>
      <c r="S14" s="73"/>
      <c r="T14" s="73"/>
      <c r="U14" s="73"/>
      <c r="V14" s="1425"/>
      <c r="W14" s="1425"/>
      <c r="X14" s="73"/>
      <c r="Y14" s="1262"/>
    </row>
    <row r="15" spans="1:26">
      <c r="A15" s="86"/>
      <c r="B15" s="94">
        <v>5402001</v>
      </c>
      <c r="C15" s="94" t="s">
        <v>102</v>
      </c>
      <c r="D15" s="1414" t="s">
        <v>105</v>
      </c>
      <c r="E15" s="1416"/>
      <c r="F15" s="1431"/>
      <c r="G15" s="1261"/>
      <c r="H15" s="1432"/>
      <c r="I15" s="1433"/>
      <c r="J15" s="1433"/>
      <c r="K15" s="1428"/>
      <c r="L15" s="1428"/>
      <c r="M15" s="216"/>
      <c r="N15" s="1430"/>
      <c r="O15" s="1430"/>
      <c r="P15" s="1263"/>
      <c r="Q15" s="88"/>
      <c r="R15" s="88"/>
      <c r="S15" s="73"/>
      <c r="T15" s="73"/>
      <c r="U15" s="73"/>
      <c r="V15" s="1425"/>
      <c r="W15" s="1425"/>
      <c r="X15" s="73"/>
      <c r="Y15" s="1433"/>
    </row>
    <row r="16" spans="1:26">
      <c r="A16" s="86"/>
      <c r="B16" s="70">
        <v>54020010004</v>
      </c>
      <c r="C16" s="70" t="s">
        <v>103</v>
      </c>
      <c r="D16" s="71" t="s">
        <v>1083</v>
      </c>
      <c r="E16" s="1416"/>
      <c r="F16" s="1107">
        <v>4</v>
      </c>
      <c r="G16" s="209"/>
      <c r="H16" s="1434"/>
      <c r="I16" s="209"/>
      <c r="J16" s="209"/>
      <c r="K16" s="209"/>
      <c r="L16" s="73"/>
      <c r="M16" s="216"/>
      <c r="N16" s="1430"/>
      <c r="O16" s="1430"/>
      <c r="P16" s="1263"/>
      <c r="Q16" s="88"/>
      <c r="R16" s="88"/>
      <c r="S16" s="73"/>
      <c r="T16" s="73"/>
      <c r="U16" s="73"/>
      <c r="V16" s="1425"/>
      <c r="W16" s="1425"/>
      <c r="X16" s="73"/>
      <c r="Y16" s="1262"/>
    </row>
    <row r="17" spans="1:25" ht="16.5" customHeight="1">
      <c r="A17" s="2849">
        <v>4137</v>
      </c>
      <c r="B17" s="2849"/>
      <c r="C17" s="2849" t="s">
        <v>451</v>
      </c>
      <c r="D17" s="2921" t="s">
        <v>1084</v>
      </c>
      <c r="E17" s="1416" t="s">
        <v>1085</v>
      </c>
      <c r="F17" s="1107"/>
      <c r="G17" s="209"/>
      <c r="H17" s="1434">
        <f>+H18</f>
        <v>0</v>
      </c>
      <c r="I17" s="209"/>
      <c r="J17" s="209"/>
      <c r="K17" s="209">
        <f>+K18</f>
        <v>4</v>
      </c>
      <c r="L17" s="1097">
        <f>+L18+L19</f>
        <v>1</v>
      </c>
      <c r="M17" s="208">
        <v>0</v>
      </c>
      <c r="N17" s="218">
        <f>+N18+N19</f>
        <v>3.9E-2</v>
      </c>
      <c r="O17" s="2922">
        <f>+N18+N19</f>
        <v>3.9E-2</v>
      </c>
      <c r="P17" s="97">
        <f t="shared" ref="P17:S17" si="2">+P18+P19</f>
        <v>238448000</v>
      </c>
      <c r="Q17" s="97">
        <f t="shared" si="2"/>
        <v>679060595</v>
      </c>
      <c r="R17" s="97">
        <f t="shared" si="2"/>
        <v>54925500</v>
      </c>
      <c r="S17" s="97">
        <f t="shared" si="2"/>
        <v>28770500</v>
      </c>
      <c r="T17" s="215">
        <f t="shared" ref="T17:U19" si="3">+R17/Q17</f>
        <v>8.0884534317589143E-2</v>
      </c>
      <c r="U17" s="215">
        <f t="shared" si="3"/>
        <v>0.52380952380952384</v>
      </c>
      <c r="V17" s="1425"/>
      <c r="W17" s="1425"/>
      <c r="X17" s="73"/>
      <c r="Y17" s="1433"/>
    </row>
    <row r="18" spans="1:25" ht="66" customHeight="1">
      <c r="A18" s="3009"/>
      <c r="B18" s="3009"/>
      <c r="C18" s="3009"/>
      <c r="D18" s="3009"/>
      <c r="E18" s="1094" t="s">
        <v>1086</v>
      </c>
      <c r="F18" s="1107"/>
      <c r="G18" s="209" t="s">
        <v>1087</v>
      </c>
      <c r="H18" s="1434">
        <v>0</v>
      </c>
      <c r="I18" s="209" t="s">
        <v>1088</v>
      </c>
      <c r="J18" s="209" t="s">
        <v>1089</v>
      </c>
      <c r="K18" s="209">
        <v>4</v>
      </c>
      <c r="L18" s="1097">
        <v>0.6</v>
      </c>
      <c r="M18" s="644">
        <v>0</v>
      </c>
      <c r="N18" s="223">
        <v>1.9E-2</v>
      </c>
      <c r="O18" s="3009"/>
      <c r="P18" s="1423">
        <v>122648724</v>
      </c>
      <c r="Q18" s="1423">
        <v>122648724</v>
      </c>
      <c r="R18" s="1423">
        <v>10462000</v>
      </c>
      <c r="S18" s="1423">
        <v>10462000</v>
      </c>
      <c r="T18" s="1435">
        <f t="shared" si="3"/>
        <v>8.5300520533748078E-2</v>
      </c>
      <c r="U18" s="1424">
        <f t="shared" si="3"/>
        <v>1</v>
      </c>
      <c r="V18" s="1425">
        <v>45413</v>
      </c>
      <c r="W18" s="1425">
        <v>45657</v>
      </c>
      <c r="X18" s="92" t="s">
        <v>4909</v>
      </c>
      <c r="Y18" s="2853" t="s">
        <v>1080</v>
      </c>
    </row>
    <row r="19" spans="1:25" ht="94.5" customHeight="1">
      <c r="A19" s="3010"/>
      <c r="B19" s="3010"/>
      <c r="C19" s="3010"/>
      <c r="D19" s="3010"/>
      <c r="E19" s="1107" t="s">
        <v>1090</v>
      </c>
      <c r="F19" s="1107"/>
      <c r="G19" s="209"/>
      <c r="H19" s="1434"/>
      <c r="I19" s="209" t="s">
        <v>1091</v>
      </c>
      <c r="J19" s="209" t="s">
        <v>121</v>
      </c>
      <c r="K19" s="209">
        <v>26</v>
      </c>
      <c r="L19" s="1097">
        <v>0.4</v>
      </c>
      <c r="M19" s="644">
        <v>0</v>
      </c>
      <c r="N19" s="228">
        <v>0.02</v>
      </c>
      <c r="O19" s="3010"/>
      <c r="P19" s="1423">
        <v>115799276</v>
      </c>
      <c r="Q19" s="1423">
        <v>556411871</v>
      </c>
      <c r="R19" s="1423">
        <v>44463500</v>
      </c>
      <c r="S19" s="1423">
        <v>18308500</v>
      </c>
      <c r="T19" s="1435">
        <f t="shared" si="3"/>
        <v>7.9911127561115611E-2</v>
      </c>
      <c r="U19" s="1424">
        <f t="shared" si="3"/>
        <v>0.41176470588235292</v>
      </c>
      <c r="V19" s="1425">
        <v>45350</v>
      </c>
      <c r="W19" s="1425">
        <v>45657</v>
      </c>
      <c r="X19" s="92" t="s">
        <v>4910</v>
      </c>
      <c r="Y19" s="3010"/>
    </row>
    <row r="20" spans="1:25">
      <c r="A20" s="94"/>
      <c r="B20" s="70">
        <v>54020010009</v>
      </c>
      <c r="C20" s="70" t="s">
        <v>103</v>
      </c>
      <c r="D20" s="71" t="s">
        <v>1092</v>
      </c>
      <c r="E20" s="1107"/>
      <c r="F20" s="1436">
        <v>500</v>
      </c>
      <c r="G20" s="209"/>
      <c r="H20" s="1434"/>
      <c r="I20" s="209"/>
      <c r="J20" s="209"/>
      <c r="K20" s="209"/>
      <c r="L20" s="209"/>
      <c r="M20" s="73"/>
      <c r="N20" s="215"/>
      <c r="O20" s="215"/>
      <c r="P20" s="1262"/>
      <c r="Q20" s="88"/>
      <c r="R20" s="88"/>
      <c r="S20" s="73"/>
      <c r="T20" s="73"/>
      <c r="U20" s="73"/>
      <c r="V20" s="1425"/>
      <c r="W20" s="1425"/>
      <c r="X20" s="73"/>
      <c r="Y20" s="1262"/>
    </row>
    <row r="21" spans="1:25" ht="14.45" customHeight="1">
      <c r="A21" s="2849">
        <v>4137</v>
      </c>
      <c r="B21" s="2849"/>
      <c r="C21" s="2849" t="s">
        <v>451</v>
      </c>
      <c r="D21" s="2852" t="s">
        <v>1093</v>
      </c>
      <c r="E21" s="1416" t="s">
        <v>1094</v>
      </c>
      <c r="F21" s="1107"/>
      <c r="G21" s="209"/>
      <c r="H21" s="1434">
        <f>+H22</f>
        <v>0</v>
      </c>
      <c r="I21" s="209"/>
      <c r="J21" s="209"/>
      <c r="K21" s="209">
        <f t="shared" ref="K21:L21" si="4">+K22</f>
        <v>500</v>
      </c>
      <c r="L21" s="1097">
        <f t="shared" si="4"/>
        <v>1</v>
      </c>
      <c r="M21" s="208">
        <v>0</v>
      </c>
      <c r="N21" s="218">
        <f>+N22+N23</f>
        <v>0</v>
      </c>
      <c r="O21" s="2992">
        <f>+N22</f>
        <v>0</v>
      </c>
      <c r="P21" s="97">
        <f t="shared" ref="P21:S21" si="5">+P22</f>
        <v>70000000</v>
      </c>
      <c r="Q21" s="97">
        <f t="shared" si="5"/>
        <v>70000000</v>
      </c>
      <c r="R21" s="97">
        <f t="shared" si="5"/>
        <v>0</v>
      </c>
      <c r="S21" s="97">
        <f t="shared" si="5"/>
        <v>0</v>
      </c>
      <c r="T21" s="215">
        <f t="shared" ref="T21:T22" si="6">+R21/Q21</f>
        <v>0</v>
      </c>
      <c r="U21" s="215">
        <v>0</v>
      </c>
      <c r="V21" s="1425"/>
      <c r="W21" s="1425"/>
      <c r="X21" s="73"/>
      <c r="Y21" s="1433"/>
    </row>
    <row r="22" spans="1:25" ht="52.9" customHeight="1">
      <c r="A22" s="3010"/>
      <c r="B22" s="3010"/>
      <c r="C22" s="3010"/>
      <c r="D22" s="3010"/>
      <c r="E22" s="72" t="s">
        <v>1095</v>
      </c>
      <c r="F22" s="1107"/>
      <c r="G22" s="209" t="s">
        <v>1096</v>
      </c>
      <c r="H22" s="1434">
        <v>0</v>
      </c>
      <c r="I22" s="209" t="s">
        <v>1097</v>
      </c>
      <c r="J22" s="209" t="s">
        <v>106</v>
      </c>
      <c r="K22" s="1437">
        <v>500</v>
      </c>
      <c r="L22" s="1097">
        <v>1</v>
      </c>
      <c r="M22" s="644">
        <v>0</v>
      </c>
      <c r="N22" s="228">
        <v>0</v>
      </c>
      <c r="O22" s="3010"/>
      <c r="P22" s="97">
        <v>70000000</v>
      </c>
      <c r="Q22" s="97">
        <v>70000000</v>
      </c>
      <c r="R22" s="88">
        <v>0</v>
      </c>
      <c r="S22" s="73">
        <v>0</v>
      </c>
      <c r="T22" s="215">
        <f t="shared" si="6"/>
        <v>0</v>
      </c>
      <c r="U22" s="215">
        <v>0</v>
      </c>
      <c r="V22" s="1425"/>
      <c r="W22" s="1425"/>
      <c r="X22" s="73"/>
      <c r="Y22" s="1153" t="s">
        <v>1098</v>
      </c>
    </row>
    <row r="23" spans="1:25">
      <c r="A23" s="94"/>
      <c r="B23" s="70">
        <v>54020010011</v>
      </c>
      <c r="C23" s="70" t="s">
        <v>103</v>
      </c>
      <c r="D23" s="71" t="s">
        <v>1099</v>
      </c>
      <c r="E23" s="1416"/>
      <c r="F23" s="1107">
        <v>1</v>
      </c>
      <c r="G23" s="209"/>
      <c r="H23" s="1434"/>
      <c r="I23" s="209"/>
      <c r="J23" s="209"/>
      <c r="K23" s="209"/>
      <c r="L23" s="209"/>
      <c r="M23" s="73"/>
      <c r="N23" s="215"/>
      <c r="O23" s="215"/>
      <c r="P23" s="97"/>
      <c r="Q23" s="88"/>
      <c r="R23" s="88"/>
      <c r="S23" s="73"/>
      <c r="T23" s="73"/>
      <c r="U23" s="73"/>
      <c r="V23" s="1425"/>
      <c r="W23" s="1425"/>
      <c r="X23" s="73"/>
      <c r="Y23" s="92"/>
    </row>
    <row r="24" spans="1:25" ht="14.45" customHeight="1">
      <c r="A24" s="2849">
        <v>4137</v>
      </c>
      <c r="B24" s="2849"/>
      <c r="C24" s="2849" t="s">
        <v>451</v>
      </c>
      <c r="D24" s="2852" t="s">
        <v>1100</v>
      </c>
      <c r="E24" s="1416" t="s">
        <v>1101</v>
      </c>
      <c r="F24" s="1107"/>
      <c r="G24" s="209"/>
      <c r="H24" s="1434">
        <f>+H25</f>
        <v>0</v>
      </c>
      <c r="I24" s="209"/>
      <c r="J24" s="209"/>
      <c r="K24" s="209">
        <v>1</v>
      </c>
      <c r="L24" s="1097">
        <f>+L25</f>
        <v>1</v>
      </c>
      <c r="M24" s="208">
        <v>0</v>
      </c>
      <c r="N24" s="218">
        <f>+N25+N26</f>
        <v>0</v>
      </c>
      <c r="O24" s="2992">
        <f>+N25</f>
        <v>0</v>
      </c>
      <c r="P24" s="97">
        <f t="shared" ref="P24:S24" si="7">+P25</f>
        <v>50000000</v>
      </c>
      <c r="Q24" s="97">
        <f t="shared" si="7"/>
        <v>50000000</v>
      </c>
      <c r="R24" s="97">
        <f t="shared" si="7"/>
        <v>0</v>
      </c>
      <c r="S24" s="97">
        <f t="shared" si="7"/>
        <v>0</v>
      </c>
      <c r="T24" s="215">
        <f t="shared" ref="T24:T25" si="8">+R24/Q24</f>
        <v>0</v>
      </c>
      <c r="U24" s="215">
        <v>0</v>
      </c>
      <c r="V24" s="1425"/>
      <c r="W24" s="1425"/>
      <c r="X24" s="73"/>
      <c r="Y24" s="1262"/>
    </row>
    <row r="25" spans="1:25" ht="67.5" customHeight="1">
      <c r="A25" s="3010"/>
      <c r="B25" s="3010"/>
      <c r="C25" s="3010"/>
      <c r="D25" s="3010"/>
      <c r="E25" s="72" t="s">
        <v>1102</v>
      </c>
      <c r="F25" s="1107"/>
      <c r="G25" s="209" t="s">
        <v>1103</v>
      </c>
      <c r="H25" s="1434">
        <v>0</v>
      </c>
      <c r="I25" s="209" t="s">
        <v>1104</v>
      </c>
      <c r="J25" s="209" t="s">
        <v>1105</v>
      </c>
      <c r="K25" s="209">
        <v>1</v>
      </c>
      <c r="L25" s="1097">
        <v>1</v>
      </c>
      <c r="M25" s="644">
        <v>0</v>
      </c>
      <c r="N25" s="228">
        <v>0</v>
      </c>
      <c r="O25" s="3010"/>
      <c r="P25" s="97">
        <v>50000000</v>
      </c>
      <c r="Q25" s="97">
        <v>50000000</v>
      </c>
      <c r="R25" s="88">
        <v>0</v>
      </c>
      <c r="S25" s="73">
        <v>0</v>
      </c>
      <c r="T25" s="215">
        <f t="shared" si="8"/>
        <v>0</v>
      </c>
      <c r="U25" s="215">
        <v>0</v>
      </c>
      <c r="V25" s="1425"/>
      <c r="W25" s="1425"/>
      <c r="X25" s="73"/>
      <c r="Y25" s="1153" t="s">
        <v>1098</v>
      </c>
    </row>
    <row r="26" spans="1:25" ht="25.5">
      <c r="A26" s="94"/>
      <c r="B26" s="70">
        <v>54020010012</v>
      </c>
      <c r="C26" s="70" t="s">
        <v>103</v>
      </c>
      <c r="D26" s="71" t="s">
        <v>1106</v>
      </c>
      <c r="E26" s="1262"/>
      <c r="F26" s="1107">
        <v>1</v>
      </c>
      <c r="G26" s="1262"/>
      <c r="H26" s="1411"/>
      <c r="I26" s="1262"/>
      <c r="J26" s="1277"/>
      <c r="K26" s="1275"/>
      <c r="L26" s="1275"/>
      <c r="M26" s="73"/>
      <c r="N26" s="215"/>
      <c r="O26" s="215"/>
      <c r="P26" s="1262"/>
      <c r="Q26" s="88"/>
      <c r="R26" s="88"/>
      <c r="S26" s="73"/>
      <c r="T26" s="73"/>
      <c r="U26" s="73"/>
      <c r="V26" s="1425"/>
      <c r="W26" s="1425"/>
      <c r="X26" s="73"/>
      <c r="Y26" s="1262"/>
    </row>
    <row r="27" spans="1:25" ht="16.5" customHeight="1">
      <c r="A27" s="2853">
        <v>4137</v>
      </c>
      <c r="B27" s="2853"/>
      <c r="C27" s="2853" t="s">
        <v>451</v>
      </c>
      <c r="D27" s="2853" t="s">
        <v>1107</v>
      </c>
      <c r="E27" s="72" t="s">
        <v>1108</v>
      </c>
      <c r="F27" s="1428"/>
      <c r="G27" s="1262"/>
      <c r="H27" s="1411"/>
      <c r="I27" s="1262"/>
      <c r="J27" s="1277"/>
      <c r="K27" s="209">
        <f>+K28</f>
        <v>4</v>
      </c>
      <c r="L27" s="1097">
        <f>+L28+L29</f>
        <v>1</v>
      </c>
      <c r="M27" s="208">
        <v>0</v>
      </c>
      <c r="N27" s="218">
        <f>+N28+N29</f>
        <v>0</v>
      </c>
      <c r="O27" s="3011">
        <f>+N28+N29</f>
        <v>0</v>
      </c>
      <c r="P27" s="97">
        <f t="shared" ref="P27:S27" si="9">+P28+P29</f>
        <v>120000000</v>
      </c>
      <c r="Q27" s="97">
        <f t="shared" si="9"/>
        <v>120000000</v>
      </c>
      <c r="R27" s="97">
        <f t="shared" si="9"/>
        <v>0</v>
      </c>
      <c r="S27" s="97">
        <f t="shared" si="9"/>
        <v>0</v>
      </c>
      <c r="T27" s="215">
        <f t="shared" ref="T27:T29" si="10">+R27/Q27</f>
        <v>0</v>
      </c>
      <c r="U27" s="215">
        <v>0</v>
      </c>
      <c r="V27" s="1425"/>
      <c r="W27" s="1425"/>
      <c r="X27" s="73"/>
      <c r="Y27" s="1262"/>
    </row>
    <row r="28" spans="1:25" ht="92.45" customHeight="1">
      <c r="A28" s="3009"/>
      <c r="B28" s="3009"/>
      <c r="C28" s="3009"/>
      <c r="D28" s="3009"/>
      <c r="E28" s="72" t="s">
        <v>1109</v>
      </c>
      <c r="F28" s="1428"/>
      <c r="G28" s="209" t="s">
        <v>1106</v>
      </c>
      <c r="H28" s="1434">
        <v>0</v>
      </c>
      <c r="I28" s="209" t="s">
        <v>1110</v>
      </c>
      <c r="J28" s="209" t="s">
        <v>1111</v>
      </c>
      <c r="K28" s="209">
        <v>4</v>
      </c>
      <c r="L28" s="1097">
        <v>0.5</v>
      </c>
      <c r="M28" s="644">
        <v>0</v>
      </c>
      <c r="N28" s="228">
        <v>0</v>
      </c>
      <c r="O28" s="3009"/>
      <c r="P28" s="97">
        <v>100000000</v>
      </c>
      <c r="Q28" s="97">
        <v>100000000</v>
      </c>
      <c r="R28" s="88">
        <v>0</v>
      </c>
      <c r="S28" s="73">
        <v>0</v>
      </c>
      <c r="T28" s="215">
        <f t="shared" si="10"/>
        <v>0</v>
      </c>
      <c r="U28" s="215">
        <v>0</v>
      </c>
      <c r="V28" s="1425"/>
      <c r="W28" s="1425"/>
      <c r="X28" s="73"/>
      <c r="Y28" s="3013" t="s">
        <v>1098</v>
      </c>
    </row>
    <row r="29" spans="1:25" ht="67.5">
      <c r="A29" s="3010"/>
      <c r="B29" s="3010"/>
      <c r="C29" s="3010"/>
      <c r="D29" s="3010"/>
      <c r="E29" s="72" t="s">
        <v>1112</v>
      </c>
      <c r="F29" s="1428"/>
      <c r="G29" s="209"/>
      <c r="H29" s="1434"/>
      <c r="I29" s="209" t="s">
        <v>1113</v>
      </c>
      <c r="J29" s="209" t="s">
        <v>125</v>
      </c>
      <c r="K29" s="209">
        <v>1</v>
      </c>
      <c r="L29" s="1097">
        <v>0.5</v>
      </c>
      <c r="M29" s="644">
        <v>0</v>
      </c>
      <c r="N29" s="228">
        <v>0</v>
      </c>
      <c r="O29" s="3010"/>
      <c r="P29" s="97">
        <v>20000000</v>
      </c>
      <c r="Q29" s="97">
        <v>20000000</v>
      </c>
      <c r="R29" s="88">
        <v>0</v>
      </c>
      <c r="S29" s="73">
        <v>0</v>
      </c>
      <c r="T29" s="215">
        <f t="shared" si="10"/>
        <v>0</v>
      </c>
      <c r="U29" s="215">
        <v>0</v>
      </c>
      <c r="V29" s="1425"/>
      <c r="W29" s="1425"/>
      <c r="X29" s="73"/>
      <c r="Y29" s="3010"/>
    </row>
    <row r="30" spans="1:25" ht="25.5">
      <c r="A30" s="94"/>
      <c r="B30" s="70">
        <v>54020010017</v>
      </c>
      <c r="C30" s="70" t="s">
        <v>103</v>
      </c>
      <c r="D30" s="71" t="s">
        <v>1114</v>
      </c>
      <c r="E30" s="1416"/>
      <c r="F30" s="1139">
        <v>0.19</v>
      </c>
      <c r="G30" s="209"/>
      <c r="H30" s="1434"/>
      <c r="I30" s="209"/>
      <c r="J30" s="209"/>
      <c r="K30" s="209"/>
      <c r="L30" s="209"/>
      <c r="M30" s="73"/>
      <c r="N30" s="215"/>
      <c r="O30" s="215"/>
      <c r="P30" s="1262"/>
      <c r="Q30" s="88"/>
      <c r="R30" s="88"/>
      <c r="S30" s="73"/>
      <c r="T30" s="73"/>
      <c r="U30" s="73"/>
      <c r="V30" s="1425"/>
      <c r="W30" s="1425"/>
      <c r="X30" s="73"/>
      <c r="Y30" s="1262"/>
    </row>
    <row r="31" spans="1:25" ht="14.45" customHeight="1">
      <c r="A31" s="2849">
        <v>4137</v>
      </c>
      <c r="B31" s="2849"/>
      <c r="C31" s="2849" t="s">
        <v>451</v>
      </c>
      <c r="D31" s="2852" t="s">
        <v>1115</v>
      </c>
      <c r="E31" s="1416" t="s">
        <v>1116</v>
      </c>
      <c r="F31" s="1428"/>
      <c r="G31" s="209"/>
      <c r="H31" s="1434">
        <f>+H32</f>
        <v>0.19</v>
      </c>
      <c r="I31" s="209"/>
      <c r="J31" s="209"/>
      <c r="K31" s="209">
        <f t="shared" ref="K31:L31" si="11">+K32</f>
        <v>4</v>
      </c>
      <c r="L31" s="1097">
        <f t="shared" si="11"/>
        <v>1</v>
      </c>
      <c r="M31" s="208">
        <v>0</v>
      </c>
      <c r="N31" s="218">
        <f>+N32+N33</f>
        <v>0.05</v>
      </c>
      <c r="O31" s="2992">
        <f>+N32</f>
        <v>0.05</v>
      </c>
      <c r="P31" s="97">
        <f t="shared" ref="P31:S31" si="12">+P32</f>
        <v>47272000</v>
      </c>
      <c r="Q31" s="97">
        <f t="shared" si="12"/>
        <v>47272000</v>
      </c>
      <c r="R31" s="97">
        <f t="shared" si="12"/>
        <v>23539500</v>
      </c>
      <c r="S31" s="97">
        <f t="shared" si="12"/>
        <v>23539500</v>
      </c>
      <c r="T31" s="215">
        <f t="shared" ref="T31:U32" si="13">+R31/Q31</f>
        <v>0.49795862244034522</v>
      </c>
      <c r="U31" s="215">
        <f t="shared" si="13"/>
        <v>1</v>
      </c>
      <c r="V31" s="1425"/>
      <c r="W31" s="1425"/>
      <c r="X31" s="73"/>
      <c r="Y31" s="1262"/>
    </row>
    <row r="32" spans="1:25" ht="189">
      <c r="A32" s="3010"/>
      <c r="B32" s="3010"/>
      <c r="C32" s="3010"/>
      <c r="D32" s="3010"/>
      <c r="E32" s="1107" t="s">
        <v>1117</v>
      </c>
      <c r="F32" s="1107"/>
      <c r="G32" s="209" t="s">
        <v>1114</v>
      </c>
      <c r="H32" s="1434">
        <v>0.19</v>
      </c>
      <c r="I32" s="209" t="s">
        <v>1118</v>
      </c>
      <c r="J32" s="209" t="s">
        <v>121</v>
      </c>
      <c r="K32" s="209">
        <v>4</v>
      </c>
      <c r="L32" s="1438">
        <v>1</v>
      </c>
      <c r="M32" s="644">
        <v>0</v>
      </c>
      <c r="N32" s="228">
        <v>0.05</v>
      </c>
      <c r="O32" s="3010"/>
      <c r="P32" s="97">
        <v>47272000</v>
      </c>
      <c r="Q32" s="97">
        <v>47272000</v>
      </c>
      <c r="R32" s="97">
        <v>23539500</v>
      </c>
      <c r="S32" s="97">
        <v>23539500</v>
      </c>
      <c r="T32" s="215">
        <f t="shared" si="13"/>
        <v>0.49795862244034522</v>
      </c>
      <c r="U32" s="215">
        <f t="shared" si="13"/>
        <v>1</v>
      </c>
      <c r="V32" s="1425">
        <v>45350</v>
      </c>
      <c r="W32" s="1425">
        <v>45657</v>
      </c>
      <c r="X32" s="92" t="s">
        <v>4911</v>
      </c>
      <c r="Y32" s="128" t="s">
        <v>1080</v>
      </c>
    </row>
    <row r="33" spans="1:25" ht="25.5">
      <c r="A33" s="94"/>
      <c r="B33" s="70">
        <v>54020010020</v>
      </c>
      <c r="C33" s="70" t="s">
        <v>103</v>
      </c>
      <c r="D33" s="71" t="s">
        <v>1119</v>
      </c>
      <c r="E33" s="1416"/>
      <c r="F33" s="1107">
        <v>2</v>
      </c>
      <c r="G33" s="209"/>
      <c r="H33" s="1434"/>
      <c r="I33" s="209"/>
      <c r="J33" s="209"/>
      <c r="K33" s="209"/>
      <c r="L33" s="209"/>
      <c r="M33" s="73"/>
      <c r="N33" s="215"/>
      <c r="O33" s="215"/>
      <c r="P33" s="1262"/>
      <c r="Q33" s="88"/>
      <c r="R33" s="88"/>
      <c r="S33" s="73"/>
      <c r="T33" s="73"/>
      <c r="U33" s="73"/>
      <c r="V33" s="1425"/>
      <c r="W33" s="1425"/>
      <c r="X33" s="73"/>
      <c r="Y33" s="128"/>
    </row>
    <row r="34" spans="1:25" ht="16.5" customHeight="1">
      <c r="A34" s="2849">
        <v>4137</v>
      </c>
      <c r="B34" s="2849"/>
      <c r="C34" s="2849" t="s">
        <v>451</v>
      </c>
      <c r="D34" s="2852" t="s">
        <v>1120</v>
      </c>
      <c r="E34" s="1416" t="s">
        <v>1121</v>
      </c>
      <c r="F34" s="1107"/>
      <c r="G34" s="209"/>
      <c r="H34" s="1434">
        <f>+H35+H36</f>
        <v>0</v>
      </c>
      <c r="I34" s="209"/>
      <c r="J34" s="209"/>
      <c r="K34" s="1098">
        <f>K35+K36</f>
        <v>2</v>
      </c>
      <c r="L34" s="1097">
        <v>1</v>
      </c>
      <c r="M34" s="208">
        <v>0</v>
      </c>
      <c r="N34" s="218">
        <f>+N35+N36</f>
        <v>9.5000000000000001E-2</v>
      </c>
      <c r="O34" s="2922">
        <f>+N35+N36</f>
        <v>9.5000000000000001E-2</v>
      </c>
      <c r="P34" s="97">
        <f t="shared" ref="P34:S34" si="14">+P35+P36</f>
        <v>50000000</v>
      </c>
      <c r="Q34" s="97">
        <f t="shared" si="14"/>
        <v>50000000</v>
      </c>
      <c r="R34" s="97">
        <f t="shared" si="14"/>
        <v>31386000</v>
      </c>
      <c r="S34" s="97">
        <f t="shared" si="14"/>
        <v>10462000</v>
      </c>
      <c r="T34" s="215">
        <f t="shared" ref="T34:U36" si="15">+R34/Q34</f>
        <v>0.62771999999999994</v>
      </c>
      <c r="U34" s="215">
        <f t="shared" si="15"/>
        <v>0.33333333333333331</v>
      </c>
      <c r="V34" s="1439"/>
      <c r="W34" s="1439"/>
      <c r="X34" s="1259"/>
      <c r="Y34" s="1262"/>
    </row>
    <row r="35" spans="1:25" ht="135">
      <c r="A35" s="3009"/>
      <c r="B35" s="3009"/>
      <c r="C35" s="3009"/>
      <c r="D35" s="3009"/>
      <c r="E35" s="1094" t="s">
        <v>1122</v>
      </c>
      <c r="F35" s="1107"/>
      <c r="G35" s="2910" t="s">
        <v>1119</v>
      </c>
      <c r="H35" s="678">
        <v>0</v>
      </c>
      <c r="I35" s="209" t="s">
        <v>1123</v>
      </c>
      <c r="J35" s="209" t="s">
        <v>1124</v>
      </c>
      <c r="K35" s="209">
        <v>1</v>
      </c>
      <c r="L35" s="1097">
        <v>0.5</v>
      </c>
      <c r="M35" s="644">
        <v>0</v>
      </c>
      <c r="N35" s="223">
        <v>5.5E-2</v>
      </c>
      <c r="O35" s="3009"/>
      <c r="P35" s="97">
        <v>21974000</v>
      </c>
      <c r="Q35" s="97">
        <v>21974000</v>
      </c>
      <c r="R35" s="97">
        <v>10458000</v>
      </c>
      <c r="S35" s="97">
        <v>3486000</v>
      </c>
      <c r="T35" s="215">
        <f t="shared" si="15"/>
        <v>0.475926094475289</v>
      </c>
      <c r="U35" s="215">
        <v>0</v>
      </c>
      <c r="V35" s="1425">
        <v>45413</v>
      </c>
      <c r="W35" s="1425">
        <v>45657</v>
      </c>
      <c r="X35" s="1259" t="s">
        <v>4912</v>
      </c>
      <c r="Y35" s="2853" t="s">
        <v>1080</v>
      </c>
    </row>
    <row r="36" spans="1:25" ht="81" customHeight="1">
      <c r="A36" s="3010"/>
      <c r="B36" s="3010"/>
      <c r="C36" s="3010"/>
      <c r="D36" s="3010"/>
      <c r="E36" s="1107" t="s">
        <v>1125</v>
      </c>
      <c r="F36" s="1107"/>
      <c r="G36" s="3010"/>
      <c r="H36" s="678">
        <v>0</v>
      </c>
      <c r="I36" s="209" t="s">
        <v>1126</v>
      </c>
      <c r="J36" s="209" t="s">
        <v>122</v>
      </c>
      <c r="K36" s="1098">
        <v>1</v>
      </c>
      <c r="L36" s="1097">
        <v>0.5</v>
      </c>
      <c r="M36" s="644">
        <v>0</v>
      </c>
      <c r="N36" s="223">
        <v>0.04</v>
      </c>
      <c r="O36" s="3010"/>
      <c r="P36" s="97">
        <v>28026000</v>
      </c>
      <c r="Q36" s="97">
        <v>28026000</v>
      </c>
      <c r="R36" s="97">
        <v>20928000</v>
      </c>
      <c r="S36" s="97">
        <v>6976000</v>
      </c>
      <c r="T36" s="215">
        <f t="shared" si="15"/>
        <v>0.74673517448083926</v>
      </c>
      <c r="U36" s="215">
        <v>0</v>
      </c>
      <c r="V36" s="1425">
        <v>45413</v>
      </c>
      <c r="W36" s="1425">
        <v>45657</v>
      </c>
      <c r="X36" s="1259" t="s">
        <v>4913</v>
      </c>
      <c r="Y36" s="3010"/>
    </row>
    <row r="37" spans="1:25">
      <c r="A37" s="94"/>
      <c r="B37" s="70">
        <v>54020010024</v>
      </c>
      <c r="C37" s="70" t="s">
        <v>103</v>
      </c>
      <c r="D37" s="71" t="s">
        <v>1127</v>
      </c>
      <c r="E37" s="1416"/>
      <c r="F37" s="128">
        <v>1</v>
      </c>
      <c r="G37" s="73"/>
      <c r="H37" s="678"/>
      <c r="I37" s="73"/>
      <c r="J37" s="72"/>
      <c r="K37" s="73"/>
      <c r="L37" s="73"/>
      <c r="M37" s="1440"/>
      <c r="N37" s="1279"/>
      <c r="O37" s="1279"/>
      <c r="P37" s="1262"/>
      <c r="Q37" s="1441"/>
      <c r="R37" s="1441"/>
      <c r="S37" s="1440"/>
      <c r="T37" s="1440"/>
      <c r="U37" s="1440"/>
      <c r="V37" s="1439"/>
      <c r="W37" s="1439"/>
      <c r="X37" s="1259"/>
      <c r="Y37" s="1262"/>
    </row>
    <row r="38" spans="1:25" ht="14.45" customHeight="1">
      <c r="A38" s="2849">
        <v>4137</v>
      </c>
      <c r="B38" s="2849"/>
      <c r="C38" s="2849" t="s">
        <v>451</v>
      </c>
      <c r="D38" s="2852" t="s">
        <v>1128</v>
      </c>
      <c r="E38" s="1416" t="s">
        <v>1129</v>
      </c>
      <c r="F38" s="1442"/>
      <c r="G38" s="89"/>
      <c r="H38" s="605">
        <f>+H39</f>
        <v>0</v>
      </c>
      <c r="I38" s="73"/>
      <c r="J38" s="72"/>
      <c r="K38" s="209">
        <f t="shared" ref="K38:L38" si="16">+K39</f>
        <v>1</v>
      </c>
      <c r="L38" s="1097">
        <f t="shared" si="16"/>
        <v>1</v>
      </c>
      <c r="M38" s="208">
        <v>0</v>
      </c>
      <c r="N38" s="218">
        <f>+N39+N40</f>
        <v>0.55000000000000004</v>
      </c>
      <c r="O38" s="2992">
        <f>+N39</f>
        <v>0.55000000000000004</v>
      </c>
      <c r="P38" s="97">
        <f t="shared" ref="P38:S38" si="17">+P39</f>
        <v>120000000</v>
      </c>
      <c r="Q38" s="97">
        <f t="shared" si="17"/>
        <v>120000000</v>
      </c>
      <c r="R38" s="97">
        <f t="shared" si="17"/>
        <v>104620000</v>
      </c>
      <c r="S38" s="97">
        <f t="shared" si="17"/>
        <v>62772000</v>
      </c>
      <c r="T38" s="215">
        <f t="shared" ref="T38:U39" si="18">+R38/Q38</f>
        <v>0.87183333333333335</v>
      </c>
      <c r="U38" s="215">
        <f t="shared" si="18"/>
        <v>0.6</v>
      </c>
      <c r="V38" s="1439"/>
      <c r="W38" s="1439"/>
      <c r="X38" s="1259"/>
      <c r="Y38" s="1262"/>
    </row>
    <row r="39" spans="1:25" ht="135" customHeight="1">
      <c r="A39" s="3010"/>
      <c r="B39" s="3010"/>
      <c r="C39" s="3010"/>
      <c r="D39" s="3010"/>
      <c r="E39" s="1094" t="s">
        <v>1130</v>
      </c>
      <c r="F39" s="72"/>
      <c r="G39" s="92" t="s">
        <v>1127</v>
      </c>
      <c r="H39" s="605">
        <v>0</v>
      </c>
      <c r="I39" s="92" t="s">
        <v>1131</v>
      </c>
      <c r="J39" s="92" t="s">
        <v>122</v>
      </c>
      <c r="K39" s="73">
        <v>1</v>
      </c>
      <c r="L39" s="1097">
        <v>1</v>
      </c>
      <c r="M39" s="644">
        <v>0</v>
      </c>
      <c r="N39" s="228">
        <v>0.55000000000000004</v>
      </c>
      <c r="O39" s="3010"/>
      <c r="P39" s="97">
        <v>120000000</v>
      </c>
      <c r="Q39" s="97">
        <v>120000000</v>
      </c>
      <c r="R39" s="97">
        <v>104620000</v>
      </c>
      <c r="S39" s="97">
        <v>62772000</v>
      </c>
      <c r="T39" s="215">
        <f t="shared" si="18"/>
        <v>0.87183333333333335</v>
      </c>
      <c r="U39" s="215">
        <f t="shared" si="18"/>
        <v>0.6</v>
      </c>
      <c r="V39" s="1425">
        <v>45315</v>
      </c>
      <c r="W39" s="1425">
        <v>45657</v>
      </c>
      <c r="X39" s="92" t="s">
        <v>4914</v>
      </c>
      <c r="Y39" s="1153" t="s">
        <v>1098</v>
      </c>
    </row>
    <row r="40" spans="1:25" ht="25.5">
      <c r="A40" s="72"/>
      <c r="B40" s="70">
        <v>54020010025</v>
      </c>
      <c r="C40" s="70" t="s">
        <v>103</v>
      </c>
      <c r="D40" s="71" t="s">
        <v>1132</v>
      </c>
      <c r="E40" s="1416"/>
      <c r="F40" s="1443">
        <v>1</v>
      </c>
      <c r="G40" s="216"/>
      <c r="H40" s="605"/>
      <c r="I40" s="73"/>
      <c r="J40" s="73"/>
      <c r="K40" s="74"/>
      <c r="L40" s="1444"/>
      <c r="M40" s="1440"/>
      <c r="N40" s="1279"/>
      <c r="O40" s="1279"/>
      <c r="P40" s="1262"/>
      <c r="Q40" s="1441"/>
      <c r="R40" s="1441"/>
      <c r="S40" s="1440"/>
      <c r="T40" s="1440"/>
      <c r="U40" s="1440"/>
      <c r="V40" s="1439"/>
      <c r="W40" s="1439"/>
      <c r="X40" s="1259"/>
      <c r="Y40" s="1262"/>
    </row>
    <row r="41" spans="1:25" ht="14.45" customHeight="1">
      <c r="A41" s="2849">
        <v>4137</v>
      </c>
      <c r="B41" s="2849"/>
      <c r="C41" s="2849" t="s">
        <v>451</v>
      </c>
      <c r="D41" s="2853" t="s">
        <v>1133</v>
      </c>
      <c r="E41" s="1416" t="s">
        <v>1134</v>
      </c>
      <c r="F41" s="89"/>
      <c r="G41" s="216"/>
      <c r="H41" s="678">
        <f>+H42</f>
        <v>0</v>
      </c>
      <c r="I41" s="73"/>
      <c r="J41" s="73"/>
      <c r="K41" s="74">
        <v>10</v>
      </c>
      <c r="L41" s="215">
        <f>SUM(L42:L43)</f>
        <v>1</v>
      </c>
      <c r="M41" s="208">
        <v>4</v>
      </c>
      <c r="N41" s="218">
        <f>+N42+N43</f>
        <v>0.4</v>
      </c>
      <c r="O41" s="2992">
        <f>+N42</f>
        <v>0.4</v>
      </c>
      <c r="P41" s="97">
        <f t="shared" ref="P41:S41" si="19">+P42</f>
        <v>238920000</v>
      </c>
      <c r="Q41" s="97">
        <f t="shared" si="19"/>
        <v>238920000</v>
      </c>
      <c r="R41" s="97">
        <f t="shared" si="19"/>
        <v>102004500</v>
      </c>
      <c r="S41" s="97">
        <f t="shared" si="19"/>
        <v>28770500</v>
      </c>
      <c r="T41" s="215">
        <f t="shared" ref="T41:U42" si="20">+R41/Q41</f>
        <v>0.42693997990959315</v>
      </c>
      <c r="U41" s="215">
        <f t="shared" si="20"/>
        <v>0.28205128205128205</v>
      </c>
      <c r="V41" s="1439"/>
      <c r="W41" s="1439"/>
      <c r="X41" s="1259"/>
      <c r="Y41" s="1262"/>
    </row>
    <row r="42" spans="1:25" ht="94.5" customHeight="1">
      <c r="A42" s="3010"/>
      <c r="B42" s="3010"/>
      <c r="C42" s="3010"/>
      <c r="D42" s="3010"/>
      <c r="E42" s="1094" t="s">
        <v>1135</v>
      </c>
      <c r="F42" s="89"/>
      <c r="G42" s="92" t="s">
        <v>1132</v>
      </c>
      <c r="H42" s="678">
        <v>0</v>
      </c>
      <c r="I42" s="92" t="s">
        <v>1136</v>
      </c>
      <c r="J42" s="92" t="s">
        <v>1089</v>
      </c>
      <c r="K42" s="74">
        <v>10</v>
      </c>
      <c r="L42" s="215">
        <v>1</v>
      </c>
      <c r="M42" s="644">
        <v>4</v>
      </c>
      <c r="N42" s="228">
        <v>0.4</v>
      </c>
      <c r="O42" s="3010"/>
      <c r="P42" s="97">
        <v>238920000</v>
      </c>
      <c r="Q42" s="97">
        <v>238920000</v>
      </c>
      <c r="R42" s="97">
        <v>102004500</v>
      </c>
      <c r="S42" s="97">
        <v>28770500</v>
      </c>
      <c r="T42" s="215">
        <f t="shared" si="20"/>
        <v>0.42693997990959315</v>
      </c>
      <c r="U42" s="215">
        <f t="shared" si="20"/>
        <v>0.28205128205128205</v>
      </c>
      <c r="V42" s="1425">
        <v>45350</v>
      </c>
      <c r="W42" s="1425">
        <v>45657</v>
      </c>
      <c r="X42" s="92" t="s">
        <v>4915</v>
      </c>
      <c r="Y42" s="128" t="s">
        <v>1080</v>
      </c>
    </row>
    <row r="43" spans="1:25">
      <c r="A43" s="94"/>
      <c r="B43" s="70">
        <v>54020010033</v>
      </c>
      <c r="C43" s="70" t="s">
        <v>103</v>
      </c>
      <c r="D43" s="71" t="s">
        <v>1137</v>
      </c>
      <c r="E43" s="1416"/>
      <c r="F43" s="128">
        <v>1</v>
      </c>
      <c r="G43" s="92"/>
      <c r="H43" s="605"/>
      <c r="I43" s="92"/>
      <c r="J43" s="92"/>
      <c r="K43" s="216"/>
      <c r="L43" s="1445"/>
      <c r="M43" s="1440"/>
      <c r="N43" s="1279"/>
      <c r="O43" s="1279"/>
      <c r="P43" s="1262"/>
      <c r="Q43" s="1441"/>
      <c r="R43" s="1441"/>
      <c r="S43" s="1440"/>
      <c r="T43" s="1440"/>
      <c r="U43" s="1440"/>
      <c r="V43" s="1439"/>
      <c r="W43" s="1439"/>
      <c r="X43" s="1259"/>
      <c r="Y43" s="1262"/>
    </row>
    <row r="44" spans="1:25" ht="16.5" customHeight="1">
      <c r="A44" s="2849">
        <v>4137</v>
      </c>
      <c r="B44" s="2849"/>
      <c r="C44" s="2849" t="s">
        <v>451</v>
      </c>
      <c r="D44" s="2852" t="s">
        <v>1138</v>
      </c>
      <c r="E44" s="1416" t="s">
        <v>1139</v>
      </c>
      <c r="F44" s="1443"/>
      <c r="G44" s="92"/>
      <c r="H44" s="605">
        <f>+H46</f>
        <v>0</v>
      </c>
      <c r="I44" s="92"/>
      <c r="J44" s="128"/>
      <c r="K44" s="216">
        <v>1</v>
      </c>
      <c r="L44" s="218">
        <f>SUM(L45:L46)</f>
        <v>1</v>
      </c>
      <c r="M44" s="208">
        <v>0</v>
      </c>
      <c r="N44" s="218">
        <f>+N45+N46</f>
        <v>0.21000000000000002</v>
      </c>
      <c r="O44" s="3011">
        <f>+N45+N46</f>
        <v>0.21000000000000002</v>
      </c>
      <c r="P44" s="97">
        <f t="shared" ref="P44:S44" si="21">+P45+P46</f>
        <v>162880000</v>
      </c>
      <c r="Q44" s="97">
        <f t="shared" si="21"/>
        <v>162880000</v>
      </c>
      <c r="R44" s="97">
        <f t="shared" si="21"/>
        <v>129032000</v>
      </c>
      <c r="S44" s="97">
        <f t="shared" si="21"/>
        <v>55860000</v>
      </c>
      <c r="T44" s="215">
        <f t="shared" ref="T44:U46" si="22">+R44/Q44</f>
        <v>0.79219056974459723</v>
      </c>
      <c r="U44" s="215">
        <f t="shared" si="22"/>
        <v>0.43291586583173164</v>
      </c>
      <c r="V44" s="1439"/>
      <c r="W44" s="1439"/>
      <c r="X44" s="1259"/>
      <c r="Y44" s="1262"/>
    </row>
    <row r="45" spans="1:25" ht="94.5" customHeight="1">
      <c r="A45" s="3009"/>
      <c r="B45" s="3009"/>
      <c r="C45" s="3009"/>
      <c r="D45" s="3009"/>
      <c r="E45" s="1094" t="s">
        <v>1140</v>
      </c>
      <c r="F45" s="128"/>
      <c r="G45" s="92"/>
      <c r="H45" s="605"/>
      <c r="I45" s="92" t="s">
        <v>1141</v>
      </c>
      <c r="J45" s="92" t="s">
        <v>121</v>
      </c>
      <c r="K45" s="216">
        <v>26</v>
      </c>
      <c r="L45" s="218">
        <v>0.3</v>
      </c>
      <c r="M45" s="644">
        <v>10</v>
      </c>
      <c r="N45" s="228">
        <v>0.11</v>
      </c>
      <c r="O45" s="3009"/>
      <c r="P45" s="97">
        <v>49000000</v>
      </c>
      <c r="Q45" s="97">
        <v>49000000</v>
      </c>
      <c r="R45" s="97">
        <v>30964663</v>
      </c>
      <c r="S45" s="97">
        <v>8271923</v>
      </c>
      <c r="T45" s="215">
        <f t="shared" si="22"/>
        <v>0.6319318979591837</v>
      </c>
      <c r="U45" s="215">
        <f t="shared" si="22"/>
        <v>0.26714074039817581</v>
      </c>
      <c r="V45" s="1425">
        <v>45415</v>
      </c>
      <c r="W45" s="1425">
        <v>45657</v>
      </c>
      <c r="X45" s="1259" t="s">
        <v>4916</v>
      </c>
      <c r="Y45" s="2853" t="s">
        <v>1142</v>
      </c>
    </row>
    <row r="46" spans="1:25" ht="81">
      <c r="A46" s="3010"/>
      <c r="B46" s="3010"/>
      <c r="C46" s="3010"/>
      <c r="D46" s="3010"/>
      <c r="E46" s="128" t="s">
        <v>1143</v>
      </c>
      <c r="F46" s="128"/>
      <c r="G46" s="92" t="s">
        <v>1144</v>
      </c>
      <c r="H46" s="605">
        <v>0</v>
      </c>
      <c r="I46" s="92" t="s">
        <v>1145</v>
      </c>
      <c r="J46" s="92" t="s">
        <v>122</v>
      </c>
      <c r="K46" s="216">
        <v>1</v>
      </c>
      <c r="L46" s="218">
        <v>0.7</v>
      </c>
      <c r="M46" s="644">
        <v>0</v>
      </c>
      <c r="N46" s="1446">
        <v>0.1</v>
      </c>
      <c r="O46" s="3010"/>
      <c r="P46" s="97">
        <v>113880000</v>
      </c>
      <c r="Q46" s="97">
        <v>113880000</v>
      </c>
      <c r="R46" s="97">
        <v>98067337</v>
      </c>
      <c r="S46" s="97">
        <v>47588077</v>
      </c>
      <c r="T46" s="215">
        <f t="shared" si="22"/>
        <v>0.86114626800140504</v>
      </c>
      <c r="U46" s="215">
        <f t="shared" si="22"/>
        <v>0.48525919491420472</v>
      </c>
      <c r="V46" s="1425">
        <v>45315</v>
      </c>
      <c r="W46" s="1425">
        <v>45657</v>
      </c>
      <c r="X46" s="92" t="s">
        <v>4917</v>
      </c>
      <c r="Y46" s="3010"/>
    </row>
    <row r="47" spans="1:25">
      <c r="A47" s="72"/>
      <c r="B47" s="70">
        <v>54020010034</v>
      </c>
      <c r="C47" s="70" t="s">
        <v>103</v>
      </c>
      <c r="D47" s="71" t="s">
        <v>1146</v>
      </c>
      <c r="E47" s="1416"/>
      <c r="F47" s="128">
        <v>11</v>
      </c>
      <c r="G47" s="92"/>
      <c r="H47" s="605"/>
      <c r="I47" s="92"/>
      <c r="J47" s="92"/>
      <c r="K47" s="216"/>
      <c r="L47" s="1445"/>
      <c r="M47" s="1440"/>
      <c r="N47" s="1279"/>
      <c r="O47" s="1279"/>
      <c r="P47" s="1262"/>
      <c r="Q47" s="1441"/>
      <c r="R47" s="1441"/>
      <c r="S47" s="1440"/>
      <c r="T47" s="1440"/>
      <c r="U47" s="1440"/>
      <c r="V47" s="1439"/>
      <c r="W47" s="1439"/>
      <c r="X47" s="1259"/>
      <c r="Y47" s="1262"/>
    </row>
    <row r="48" spans="1:25" ht="16.5" customHeight="1">
      <c r="A48" s="2849">
        <v>4137</v>
      </c>
      <c r="B48" s="2849"/>
      <c r="C48" s="2849" t="s">
        <v>451</v>
      </c>
      <c r="D48" s="2852" t="s">
        <v>1147</v>
      </c>
      <c r="E48" s="1416" t="s">
        <v>1148</v>
      </c>
      <c r="F48" s="1443"/>
      <c r="G48" s="92"/>
      <c r="H48" s="605">
        <f>+H50</f>
        <v>1</v>
      </c>
      <c r="I48" s="92"/>
      <c r="J48" s="128"/>
      <c r="K48" s="216">
        <f>+K50</f>
        <v>11</v>
      </c>
      <c r="L48" s="218">
        <f>SUM(L49:L50)</f>
        <v>1</v>
      </c>
      <c r="M48" s="208">
        <v>1</v>
      </c>
      <c r="N48" s="218">
        <f>+N49+N50</f>
        <v>0.27</v>
      </c>
      <c r="O48" s="3011">
        <f>+N49+N50</f>
        <v>0.27</v>
      </c>
      <c r="P48" s="97">
        <f t="shared" ref="P48:S48" si="23">+P49+P50</f>
        <v>163560000</v>
      </c>
      <c r="Q48" s="97">
        <f t="shared" si="23"/>
        <v>603560000</v>
      </c>
      <c r="R48" s="97">
        <f t="shared" si="23"/>
        <v>134546000</v>
      </c>
      <c r="S48" s="97">
        <f t="shared" si="23"/>
        <v>95870000</v>
      </c>
      <c r="T48" s="215">
        <f t="shared" ref="T48:U50" si="24">+R48/Q48</f>
        <v>0.22292067068725563</v>
      </c>
      <c r="U48" s="215">
        <f t="shared" si="24"/>
        <v>0.7125444086037489</v>
      </c>
      <c r="V48" s="1439"/>
      <c r="W48" s="1439"/>
      <c r="X48" s="1259"/>
      <c r="Y48" s="1262"/>
    </row>
    <row r="49" spans="1:25" ht="81" customHeight="1">
      <c r="A49" s="3009"/>
      <c r="B49" s="3009"/>
      <c r="C49" s="3009"/>
      <c r="D49" s="3009"/>
      <c r="E49" s="1094" t="s">
        <v>1149</v>
      </c>
      <c r="F49" s="128"/>
      <c r="G49" s="92"/>
      <c r="H49" s="605"/>
      <c r="I49" s="92" t="s">
        <v>1150</v>
      </c>
      <c r="J49" s="92" t="s">
        <v>121</v>
      </c>
      <c r="K49" s="216">
        <v>14</v>
      </c>
      <c r="L49" s="218">
        <v>0.4</v>
      </c>
      <c r="M49" s="644">
        <v>7</v>
      </c>
      <c r="N49" s="228">
        <v>0.2</v>
      </c>
      <c r="O49" s="3009"/>
      <c r="P49" s="97">
        <v>65000000</v>
      </c>
      <c r="Q49" s="97">
        <v>65000000</v>
      </c>
      <c r="R49" s="97">
        <v>42908050</v>
      </c>
      <c r="S49" s="97">
        <v>31916010</v>
      </c>
      <c r="T49" s="215">
        <f t="shared" si="24"/>
        <v>0.66012384615384612</v>
      </c>
      <c r="U49" s="215">
        <f t="shared" si="24"/>
        <v>0.74382336181672204</v>
      </c>
      <c r="V49" s="1425">
        <v>45350</v>
      </c>
      <c r="W49" s="1425">
        <v>45657</v>
      </c>
      <c r="X49" s="92" t="s">
        <v>4918</v>
      </c>
      <c r="Y49" s="2853" t="s">
        <v>1142</v>
      </c>
    </row>
    <row r="50" spans="1:25" ht="79.150000000000006" customHeight="1">
      <c r="A50" s="3010"/>
      <c r="B50" s="3010"/>
      <c r="C50" s="3010"/>
      <c r="D50" s="3010"/>
      <c r="E50" s="1094" t="s">
        <v>1151</v>
      </c>
      <c r="F50" s="128"/>
      <c r="G50" s="92" t="s">
        <v>1152</v>
      </c>
      <c r="H50" s="605">
        <v>1</v>
      </c>
      <c r="I50" s="92" t="s">
        <v>1153</v>
      </c>
      <c r="J50" s="92" t="s">
        <v>122</v>
      </c>
      <c r="K50" s="216">
        <v>11</v>
      </c>
      <c r="L50" s="218">
        <v>0.6</v>
      </c>
      <c r="M50" s="644">
        <v>1</v>
      </c>
      <c r="N50" s="228">
        <v>7.0000000000000007E-2</v>
      </c>
      <c r="O50" s="3010"/>
      <c r="P50" s="97">
        <v>98560000</v>
      </c>
      <c r="Q50" s="97">
        <v>538560000</v>
      </c>
      <c r="R50" s="97">
        <v>91637950</v>
      </c>
      <c r="S50" s="97">
        <v>63953990</v>
      </c>
      <c r="T50" s="215">
        <f t="shared" si="24"/>
        <v>0.17015365047534164</v>
      </c>
      <c r="U50" s="215">
        <f t="shared" si="24"/>
        <v>0.69789852348290204</v>
      </c>
      <c r="V50" s="1425">
        <v>45315</v>
      </c>
      <c r="W50" s="1425">
        <v>45657</v>
      </c>
      <c r="X50" s="92" t="s">
        <v>4919</v>
      </c>
      <c r="Y50" s="3010"/>
    </row>
    <row r="51" spans="1:25" ht="16.5" customHeight="1">
      <c r="A51" s="72"/>
      <c r="B51" s="70">
        <v>54020010038</v>
      </c>
      <c r="C51" s="70" t="s">
        <v>103</v>
      </c>
      <c r="D51" s="71" t="s">
        <v>1154</v>
      </c>
      <c r="E51" s="1416"/>
      <c r="F51" s="89">
        <v>100000</v>
      </c>
      <c r="G51" s="92"/>
      <c r="H51" s="605"/>
      <c r="I51" s="92"/>
      <c r="J51" s="92"/>
      <c r="K51" s="216"/>
      <c r="L51" s="1445"/>
      <c r="M51" s="1440"/>
      <c r="N51" s="1279"/>
      <c r="O51" s="1279"/>
      <c r="P51" s="1262"/>
      <c r="Q51" s="1441"/>
      <c r="R51" s="1441"/>
      <c r="S51" s="1440"/>
      <c r="T51" s="1440"/>
      <c r="U51" s="1440"/>
      <c r="V51" s="1439"/>
      <c r="W51" s="1439"/>
      <c r="X51" s="1259"/>
      <c r="Y51" s="1262"/>
    </row>
    <row r="52" spans="1:25" ht="16.5" customHeight="1">
      <c r="A52" s="2849">
        <v>4137</v>
      </c>
      <c r="B52" s="2849"/>
      <c r="C52" s="2849" t="s">
        <v>451</v>
      </c>
      <c r="D52" s="2852" t="s">
        <v>1155</v>
      </c>
      <c r="E52" s="1416" t="s">
        <v>1156</v>
      </c>
      <c r="F52" s="128"/>
      <c r="G52" s="92"/>
      <c r="H52" s="605">
        <f>H54</f>
        <v>0</v>
      </c>
      <c r="I52" s="92"/>
      <c r="J52" s="92"/>
      <c r="K52" s="216">
        <v>1</v>
      </c>
      <c r="L52" s="218">
        <f>SUM(L53:L54)</f>
        <v>1</v>
      </c>
      <c r="M52" s="208">
        <v>0</v>
      </c>
      <c r="N52" s="218">
        <f>+N53+N54</f>
        <v>0.45</v>
      </c>
      <c r="O52" s="3011">
        <f>+N53+N54</f>
        <v>0.45</v>
      </c>
      <c r="P52" s="97">
        <f t="shared" ref="P52:S52" si="25">+P53+P54</f>
        <v>192845526</v>
      </c>
      <c r="Q52" s="97">
        <f t="shared" si="25"/>
        <v>852845526</v>
      </c>
      <c r="R52" s="97">
        <f t="shared" si="25"/>
        <v>173496066</v>
      </c>
      <c r="S52" s="97">
        <f t="shared" si="25"/>
        <v>71622044</v>
      </c>
      <c r="T52" s="215">
        <f t="shared" ref="T52:U54" si="26">+R52/Q52</f>
        <v>0.20343199408423701</v>
      </c>
      <c r="U52" s="215">
        <f t="shared" si="26"/>
        <v>0.41281653037596827</v>
      </c>
      <c r="V52" s="1439"/>
      <c r="W52" s="1439"/>
      <c r="X52" s="1259"/>
      <c r="Y52" s="1262"/>
    </row>
    <row r="53" spans="1:25" ht="79.150000000000006" customHeight="1">
      <c r="A53" s="3009"/>
      <c r="B53" s="3009"/>
      <c r="C53" s="3009"/>
      <c r="D53" s="3009"/>
      <c r="E53" s="1094" t="s">
        <v>1157</v>
      </c>
      <c r="F53" s="128"/>
      <c r="G53" s="92"/>
      <c r="H53" s="605"/>
      <c r="I53" s="92" t="s">
        <v>1158</v>
      </c>
      <c r="J53" s="92" t="s">
        <v>1159</v>
      </c>
      <c r="K53" s="216">
        <v>1500</v>
      </c>
      <c r="L53" s="218">
        <v>0.2</v>
      </c>
      <c r="M53" s="644">
        <v>0</v>
      </c>
      <c r="N53" s="228">
        <v>0</v>
      </c>
      <c r="O53" s="3009"/>
      <c r="P53" s="97">
        <v>1000000</v>
      </c>
      <c r="Q53" s="97">
        <v>1000000</v>
      </c>
      <c r="R53" s="97">
        <v>0</v>
      </c>
      <c r="S53" s="97">
        <v>0</v>
      </c>
      <c r="T53" s="215">
        <f t="shared" si="26"/>
        <v>0</v>
      </c>
      <c r="U53" s="215">
        <v>0</v>
      </c>
      <c r="V53" s="1439"/>
      <c r="W53" s="1439"/>
      <c r="X53" s="1259"/>
      <c r="Y53" s="2853" t="s">
        <v>1142</v>
      </c>
    </row>
    <row r="54" spans="1:25" ht="67.5">
      <c r="A54" s="3010"/>
      <c r="B54" s="3010"/>
      <c r="C54" s="3010"/>
      <c r="D54" s="3010"/>
      <c r="E54" s="1094" t="s">
        <v>1160</v>
      </c>
      <c r="F54" s="128"/>
      <c r="G54" s="92" t="s">
        <v>1161</v>
      </c>
      <c r="H54" s="605">
        <v>0</v>
      </c>
      <c r="I54" s="92" t="s">
        <v>1162</v>
      </c>
      <c r="J54" s="92" t="s">
        <v>1163</v>
      </c>
      <c r="K54" s="216">
        <v>1</v>
      </c>
      <c r="L54" s="218">
        <v>0.8</v>
      </c>
      <c r="M54" s="644">
        <v>0</v>
      </c>
      <c r="N54" s="228">
        <v>0.45</v>
      </c>
      <c r="O54" s="3010"/>
      <c r="P54" s="97">
        <v>191845526</v>
      </c>
      <c r="Q54" s="97">
        <v>851845526</v>
      </c>
      <c r="R54" s="97">
        <v>173496066</v>
      </c>
      <c r="S54" s="97">
        <v>71622044</v>
      </c>
      <c r="T54" s="215">
        <f t="shared" si="26"/>
        <v>0.20367080732898044</v>
      </c>
      <c r="U54" s="215">
        <f>+S54/R54</f>
        <v>0.41281653037596827</v>
      </c>
      <c r="V54" s="1425">
        <v>45352</v>
      </c>
      <c r="W54" s="1425">
        <v>45657</v>
      </c>
      <c r="X54" s="92" t="s">
        <v>4920</v>
      </c>
      <c r="Y54" s="3010"/>
    </row>
    <row r="55" spans="1:25">
      <c r="A55" s="86"/>
      <c r="B55" s="82">
        <v>5403</v>
      </c>
      <c r="C55" s="82" t="s">
        <v>101</v>
      </c>
      <c r="D55" s="88" t="s">
        <v>480</v>
      </c>
      <c r="E55" s="1416"/>
      <c r="F55" s="72"/>
      <c r="G55" s="73"/>
      <c r="H55" s="678"/>
      <c r="I55" s="73"/>
      <c r="J55" s="72"/>
      <c r="K55" s="73"/>
      <c r="L55" s="73"/>
      <c r="M55" s="1440"/>
      <c r="N55" s="1279"/>
      <c r="O55" s="1279"/>
      <c r="P55" s="73"/>
      <c r="Q55" s="1441"/>
      <c r="R55" s="1441"/>
      <c r="S55" s="1440"/>
      <c r="T55" s="1440"/>
      <c r="U55" s="1440"/>
      <c r="V55" s="1439"/>
      <c r="W55" s="1439"/>
      <c r="X55" s="1259"/>
      <c r="Y55" s="1262"/>
    </row>
    <row r="56" spans="1:25">
      <c r="A56" s="86"/>
      <c r="B56" s="94">
        <v>5403001</v>
      </c>
      <c r="C56" s="94" t="s">
        <v>102</v>
      </c>
      <c r="D56" s="88" t="s">
        <v>481</v>
      </c>
      <c r="E56" s="1416"/>
      <c r="F56" s="72"/>
      <c r="G56" s="73"/>
      <c r="H56" s="678"/>
      <c r="I56" s="73"/>
      <c r="J56" s="72"/>
      <c r="K56" s="73"/>
      <c r="L56" s="73"/>
      <c r="M56" s="1440"/>
      <c r="N56" s="1279"/>
      <c r="O56" s="1279"/>
      <c r="P56" s="73"/>
      <c r="Q56" s="1441"/>
      <c r="R56" s="1441"/>
      <c r="S56" s="1440"/>
      <c r="T56" s="1440"/>
      <c r="U56" s="1440"/>
      <c r="V56" s="1439"/>
      <c r="W56" s="1439"/>
      <c r="X56" s="1259"/>
      <c r="Y56" s="1262"/>
    </row>
    <row r="57" spans="1:25">
      <c r="A57" s="94"/>
      <c r="B57" s="70">
        <v>54030010013</v>
      </c>
      <c r="C57" s="70" t="s">
        <v>103</v>
      </c>
      <c r="D57" s="71" t="s">
        <v>1164</v>
      </c>
      <c r="E57" s="1416"/>
      <c r="F57" s="128">
        <v>1</v>
      </c>
      <c r="G57" s="92"/>
      <c r="H57" s="605"/>
      <c r="I57" s="92"/>
      <c r="J57" s="92"/>
      <c r="K57" s="92"/>
      <c r="L57" s="92"/>
      <c r="M57" s="1440"/>
      <c r="N57" s="1279"/>
      <c r="O57" s="1279"/>
      <c r="P57" s="92"/>
      <c r="Q57" s="1441"/>
      <c r="R57" s="1441"/>
      <c r="S57" s="1440"/>
      <c r="T57" s="1440"/>
      <c r="U57" s="1440"/>
      <c r="V57" s="1439"/>
      <c r="W57" s="1439"/>
      <c r="X57" s="1259"/>
      <c r="Y57" s="1262"/>
    </row>
    <row r="58" spans="1:25" ht="16.5" customHeight="1">
      <c r="A58" s="2849">
        <v>4137</v>
      </c>
      <c r="B58" s="2849"/>
      <c r="C58" s="2849" t="s">
        <v>451</v>
      </c>
      <c r="D58" s="2852" t="s">
        <v>1165</v>
      </c>
      <c r="E58" s="1416" t="s">
        <v>1166</v>
      </c>
      <c r="F58" s="128"/>
      <c r="G58" s="92"/>
      <c r="H58" s="605">
        <f>H60</f>
        <v>0</v>
      </c>
      <c r="I58" s="92"/>
      <c r="J58" s="92"/>
      <c r="K58" s="216">
        <f>+K60</f>
        <v>1</v>
      </c>
      <c r="L58" s="218">
        <f>L59+L60</f>
        <v>1</v>
      </c>
      <c r="M58" s="208">
        <v>0</v>
      </c>
      <c r="N58" s="218">
        <f>+N59+N60</f>
        <v>0.23</v>
      </c>
      <c r="O58" s="3011">
        <f>+N59+N60</f>
        <v>0.23</v>
      </c>
      <c r="P58" s="97">
        <f t="shared" ref="P58:S58" si="27">+P59+P60</f>
        <v>163560000</v>
      </c>
      <c r="Q58" s="97">
        <f t="shared" si="27"/>
        <v>163560000</v>
      </c>
      <c r="R58" s="97">
        <f t="shared" si="27"/>
        <v>106039000</v>
      </c>
      <c r="S58" s="97">
        <f t="shared" si="27"/>
        <v>47392000</v>
      </c>
      <c r="T58" s="215">
        <f t="shared" ref="T58:U60" si="28">+R58/Q58</f>
        <v>0.6483186598190267</v>
      </c>
      <c r="U58" s="215">
        <f t="shared" si="28"/>
        <v>0.44692990314884146</v>
      </c>
      <c r="V58" s="1439"/>
      <c r="W58" s="1439"/>
      <c r="X58" s="1259"/>
      <c r="Y58" s="1262"/>
    </row>
    <row r="59" spans="1:25" ht="94.5" customHeight="1">
      <c r="A59" s="3009"/>
      <c r="B59" s="3009"/>
      <c r="C59" s="3009"/>
      <c r="D59" s="3009"/>
      <c r="E59" s="1094" t="s">
        <v>1167</v>
      </c>
      <c r="F59" s="128"/>
      <c r="G59" s="92"/>
      <c r="H59" s="605"/>
      <c r="I59" s="92" t="s">
        <v>1168</v>
      </c>
      <c r="J59" s="92" t="s">
        <v>121</v>
      </c>
      <c r="K59" s="92">
        <v>26</v>
      </c>
      <c r="L59" s="218">
        <v>0.3</v>
      </c>
      <c r="M59" s="644">
        <v>5</v>
      </c>
      <c r="N59" s="228">
        <v>0.03</v>
      </c>
      <c r="O59" s="3009"/>
      <c r="P59" s="97">
        <v>90460000</v>
      </c>
      <c r="Q59" s="97">
        <v>90460000</v>
      </c>
      <c r="R59" s="97">
        <v>77314141</v>
      </c>
      <c r="S59" s="97">
        <v>35245069</v>
      </c>
      <c r="T59" s="215">
        <f t="shared" si="28"/>
        <v>0.85467765863365019</v>
      </c>
      <c r="U59" s="215">
        <f t="shared" si="28"/>
        <v>0.4558683384970933</v>
      </c>
      <c r="V59" s="1425">
        <v>45315</v>
      </c>
      <c r="W59" s="1425">
        <v>45657</v>
      </c>
      <c r="X59" s="92" t="s">
        <v>4921</v>
      </c>
      <c r="Y59" s="2853" t="s">
        <v>1142</v>
      </c>
    </row>
    <row r="60" spans="1:25" ht="202.5">
      <c r="A60" s="3010"/>
      <c r="B60" s="3010"/>
      <c r="C60" s="3010"/>
      <c r="D60" s="3010"/>
      <c r="E60" s="128" t="s">
        <v>1169</v>
      </c>
      <c r="F60" s="128"/>
      <c r="G60" s="92" t="s">
        <v>1164</v>
      </c>
      <c r="H60" s="605">
        <v>0</v>
      </c>
      <c r="I60" s="92" t="s">
        <v>1170</v>
      </c>
      <c r="J60" s="92" t="s">
        <v>122</v>
      </c>
      <c r="K60" s="92">
        <v>1</v>
      </c>
      <c r="L60" s="218">
        <v>0.7</v>
      </c>
      <c r="M60" s="644">
        <v>0</v>
      </c>
      <c r="N60" s="228">
        <v>0.2</v>
      </c>
      <c r="O60" s="3010"/>
      <c r="P60" s="97">
        <v>73100000</v>
      </c>
      <c r="Q60" s="97">
        <v>73100000</v>
      </c>
      <c r="R60" s="97">
        <v>28724859</v>
      </c>
      <c r="S60" s="97">
        <v>12146931</v>
      </c>
      <c r="T60" s="215">
        <f t="shared" si="28"/>
        <v>0.39295292749658001</v>
      </c>
      <c r="U60" s="215">
        <f t="shared" si="28"/>
        <v>0.42287173628946273</v>
      </c>
      <c r="V60" s="1425">
        <v>45315</v>
      </c>
      <c r="W60" s="1425">
        <v>45657</v>
      </c>
      <c r="X60" s="92" t="s">
        <v>4922</v>
      </c>
      <c r="Y60" s="3010"/>
    </row>
    <row r="61" spans="1:25">
      <c r="A61" s="595"/>
      <c r="B61" s="596"/>
      <c r="C61" s="595"/>
      <c r="D61" s="597"/>
      <c r="E61" s="597"/>
      <c r="F61" s="52"/>
      <c r="G61" s="597"/>
      <c r="H61" s="1447"/>
      <c r="I61" s="597"/>
      <c r="J61" s="598"/>
      <c r="K61" s="599"/>
      <c r="L61" s="599"/>
      <c r="M61" s="597"/>
      <c r="N61" s="1448"/>
      <c r="O61" s="1448"/>
      <c r="P61" s="597"/>
      <c r="Q61" s="597"/>
      <c r="R61" s="597"/>
      <c r="S61" s="597"/>
      <c r="T61" s="597"/>
      <c r="U61" s="597"/>
      <c r="V61" s="1449"/>
      <c r="W61" s="1449"/>
      <c r="X61" s="601"/>
      <c r="Y61" s="601"/>
    </row>
    <row r="62" spans="1:25" s="45" customFormat="1" ht="13.5">
      <c r="A62" s="1450"/>
      <c r="B62" s="1451" t="s">
        <v>36</v>
      </c>
      <c r="C62" s="1450">
        <f>COUNTIF(C7:C60,"Pr")</f>
        <v>13</v>
      </c>
      <c r="D62" s="1257"/>
      <c r="E62" s="1257"/>
      <c r="F62" s="611"/>
      <c r="G62" s="1257"/>
      <c r="H62" s="1452"/>
      <c r="I62" s="1257"/>
      <c r="J62" s="1453"/>
      <c r="K62" s="1454"/>
      <c r="L62" s="1454"/>
      <c r="M62" s="1257"/>
      <c r="N62" s="1455" t="s">
        <v>113</v>
      </c>
      <c r="O62" s="1456">
        <f>AVERAGE(O11:O60)</f>
        <v>0.19953846153846155</v>
      </c>
      <c r="P62" s="1457">
        <f t="shared" ref="P62:S62" si="29">+P58+P52+P48+P44+P41+P38+P34+P31+P27+P24+P21+P17+P11</f>
        <v>1817485526</v>
      </c>
      <c r="Q62" s="1457">
        <f t="shared" si="29"/>
        <v>3358098121</v>
      </c>
      <c r="R62" s="1457">
        <f t="shared" si="29"/>
        <v>972332566</v>
      </c>
      <c r="S62" s="1457">
        <f t="shared" si="29"/>
        <v>479970544</v>
      </c>
      <c r="T62" s="2065">
        <f>IF(Q62=0,0,R62/Q62)</f>
        <v>0.2895485870170022</v>
      </c>
      <c r="U62" s="2065">
        <f>IF(R62=0,0,S62/R62)</f>
        <v>0.49362796308932844</v>
      </c>
      <c r="V62" s="1257"/>
      <c r="W62" s="1257"/>
      <c r="X62" s="1458"/>
      <c r="Y62" s="1458"/>
    </row>
    <row r="63" spans="1:25" s="45" customFormat="1" ht="12.75">
      <c r="A63" s="52"/>
      <c r="B63" s="51"/>
      <c r="C63" s="52"/>
      <c r="D63" s="51"/>
      <c r="E63" s="51"/>
      <c r="F63" s="52"/>
      <c r="G63" s="51"/>
      <c r="H63" s="559"/>
      <c r="I63" s="51"/>
      <c r="J63" s="52"/>
      <c r="K63" s="107"/>
      <c r="L63" s="107"/>
      <c r="M63" s="51"/>
      <c r="N63" s="108" t="s">
        <v>119</v>
      </c>
      <c r="O63" s="59">
        <f>COUNTIF(O11:O60,"0%")</f>
        <v>3</v>
      </c>
      <c r="P63" s="54">
        <v>1817485526</v>
      </c>
      <c r="Q63" s="54">
        <v>3358098121</v>
      </c>
      <c r="R63" s="54">
        <v>972332566</v>
      </c>
      <c r="S63" s="54">
        <v>479970544</v>
      </c>
      <c r="T63" s="51"/>
      <c r="U63" s="51"/>
      <c r="V63" s="51"/>
      <c r="W63" s="51"/>
      <c r="X63" s="56"/>
      <c r="Y63" s="56"/>
    </row>
  </sheetData>
  <autoFilter ref="A5:Y6" xr:uid="{00000000-0009-0000-0000-00000B000000}"/>
  <mergeCells count="107">
    <mergeCell ref="Y12:Y13"/>
    <mergeCell ref="Y18:Y19"/>
    <mergeCell ref="Y28:Y29"/>
    <mergeCell ref="Y35:Y36"/>
    <mergeCell ref="Y45:Y46"/>
    <mergeCell ref="Y49:Y50"/>
    <mergeCell ref="Y53:Y54"/>
    <mergeCell ref="Y59:Y60"/>
    <mergeCell ref="F5:F6"/>
    <mergeCell ref="A4:X4"/>
    <mergeCell ref="H5:H6"/>
    <mergeCell ref="K5:K6"/>
    <mergeCell ref="V5:V6"/>
    <mergeCell ref="G5:G6"/>
    <mergeCell ref="R5:R6"/>
    <mergeCell ref="I5:I6"/>
    <mergeCell ref="U5:U6"/>
    <mergeCell ref="V3:W3"/>
    <mergeCell ref="L5:L6"/>
    <mergeCell ref="N5:N6"/>
    <mergeCell ref="M5:M6"/>
    <mergeCell ref="J5:J6"/>
    <mergeCell ref="A11:A13"/>
    <mergeCell ref="B11:B13"/>
    <mergeCell ref="C11:C13"/>
    <mergeCell ref="D11:D13"/>
    <mergeCell ref="O11:O13"/>
    <mergeCell ref="G12:G13"/>
    <mergeCell ref="A1:X1"/>
    <mergeCell ref="A2:Y2"/>
    <mergeCell ref="A3:B3"/>
    <mergeCell ref="D5:D6"/>
    <mergeCell ref="E5:E6"/>
    <mergeCell ref="Y5:Y6"/>
    <mergeCell ref="S5:S6"/>
    <mergeCell ref="T5:T6"/>
    <mergeCell ref="P5:P6"/>
    <mergeCell ref="A5:A6"/>
    <mergeCell ref="B5:B6"/>
    <mergeCell ref="C5:C6"/>
    <mergeCell ref="X5:X6"/>
    <mergeCell ref="W5:W6"/>
    <mergeCell ref="Q5:Q6"/>
    <mergeCell ref="O5:O6"/>
    <mergeCell ref="C3:S3"/>
    <mergeCell ref="T3:U3"/>
    <mergeCell ref="A21:A22"/>
    <mergeCell ref="B21:B22"/>
    <mergeCell ref="C21:C22"/>
    <mergeCell ref="D21:D22"/>
    <mergeCell ref="O21:O22"/>
    <mergeCell ref="A17:A19"/>
    <mergeCell ref="B17:B19"/>
    <mergeCell ref="C17:C19"/>
    <mergeCell ref="D17:D19"/>
    <mergeCell ref="O17:O19"/>
    <mergeCell ref="A27:A29"/>
    <mergeCell ref="B27:B29"/>
    <mergeCell ref="C27:C29"/>
    <mergeCell ref="D27:D29"/>
    <mergeCell ref="O27:O29"/>
    <mergeCell ref="A24:A25"/>
    <mergeCell ref="B24:B25"/>
    <mergeCell ref="C24:C25"/>
    <mergeCell ref="D24:D25"/>
    <mergeCell ref="O24:O25"/>
    <mergeCell ref="A34:A36"/>
    <mergeCell ref="B34:B36"/>
    <mergeCell ref="C34:C36"/>
    <mergeCell ref="D34:D36"/>
    <mergeCell ref="O34:O36"/>
    <mergeCell ref="G35:G36"/>
    <mergeCell ref="A31:A32"/>
    <mergeCell ref="B31:B32"/>
    <mergeCell ref="C31:C32"/>
    <mergeCell ref="D31:D32"/>
    <mergeCell ref="O31:O32"/>
    <mergeCell ref="A41:A42"/>
    <mergeCell ref="B41:B42"/>
    <mergeCell ref="C41:C42"/>
    <mergeCell ref="D41:D42"/>
    <mergeCell ref="O41:O42"/>
    <mergeCell ref="A38:A39"/>
    <mergeCell ref="B38:B39"/>
    <mergeCell ref="C38:C39"/>
    <mergeCell ref="D38:D39"/>
    <mergeCell ref="O38:O39"/>
    <mergeCell ref="A48:A50"/>
    <mergeCell ref="B48:B50"/>
    <mergeCell ref="C48:C50"/>
    <mergeCell ref="D48:D50"/>
    <mergeCell ref="O48:O50"/>
    <mergeCell ref="A44:A46"/>
    <mergeCell ref="B44:B46"/>
    <mergeCell ref="C44:C46"/>
    <mergeCell ref="D44:D46"/>
    <mergeCell ref="O44:O46"/>
    <mergeCell ref="A58:A60"/>
    <mergeCell ref="B58:B60"/>
    <mergeCell ref="C58:C60"/>
    <mergeCell ref="D58:D60"/>
    <mergeCell ref="O58:O60"/>
    <mergeCell ref="A52:A54"/>
    <mergeCell ref="B52:B54"/>
    <mergeCell ref="C52:C54"/>
    <mergeCell ref="D52:D54"/>
    <mergeCell ref="O52:O54"/>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174"/>
  <sheetViews>
    <sheetView topLeftCell="A156" zoomScale="50" zoomScaleNormal="50" zoomScaleSheetLayoutView="100" workbookViewId="0">
      <selection activeCell="O171" sqref="O171"/>
    </sheetView>
  </sheetViews>
  <sheetFormatPr baseColWidth="10" defaultColWidth="11.42578125" defaultRowHeight="16.5"/>
  <cols>
    <col min="1" max="1" width="13" style="2" customWidth="1"/>
    <col min="2" max="2" width="18.140625" style="3" customWidth="1"/>
    <col min="3" max="3" width="8.5703125" style="2" customWidth="1"/>
    <col min="4" max="4" width="47" style="3" customWidth="1"/>
    <col min="5" max="5" width="14.7109375" style="3" customWidth="1"/>
    <col min="6" max="6" width="12.42578125" style="3" customWidth="1"/>
    <col min="7" max="7" width="19.140625" style="3" customWidth="1"/>
    <col min="8" max="8" width="12.42578125" style="3" customWidth="1"/>
    <col min="9" max="9" width="31" style="3" customWidth="1"/>
    <col min="10" max="10" width="25.140625" style="2" customWidth="1"/>
    <col min="11" max="12" width="13.140625" style="16" customWidth="1"/>
    <col min="13" max="13" width="15.7109375" style="16" customWidth="1"/>
    <col min="14" max="14" width="12.5703125" style="3" customWidth="1"/>
    <col min="15" max="15" width="11.5703125" style="2" customWidth="1"/>
    <col min="16" max="16" width="19.42578125" style="3" customWidth="1"/>
    <col min="17" max="17" width="20.140625" style="3" customWidth="1"/>
    <col min="18" max="18" width="18.85546875" style="3" customWidth="1"/>
    <col min="19" max="19" width="18.5703125" style="3" customWidth="1"/>
    <col min="20" max="21" width="12.5703125" style="3" customWidth="1"/>
    <col min="22" max="22" width="12.85546875" style="3" customWidth="1"/>
    <col min="23" max="23" width="13.42578125" style="3" customWidth="1"/>
    <col min="24" max="24" width="49.140625" style="3" customWidth="1"/>
    <col min="25" max="25" width="17.140625" style="17" customWidth="1"/>
    <col min="26" max="26" width="11.42578125" style="3"/>
    <col min="27" max="27" width="12.42578125" style="3" bestFit="1" customWidth="1"/>
    <col min="28" max="16384" width="11.42578125" style="3"/>
  </cols>
  <sheetData>
    <row r="1" spans="1:30"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30" ht="25.5" customHeight="1">
      <c r="A2" s="2951"/>
      <c r="B2" s="2952"/>
      <c r="C2" s="2952"/>
      <c r="D2" s="2952"/>
      <c r="E2" s="2952"/>
      <c r="F2" s="2952"/>
      <c r="G2" s="2952"/>
      <c r="H2" s="2952"/>
      <c r="I2" s="2952"/>
      <c r="J2" s="2952"/>
      <c r="K2" s="2952"/>
      <c r="L2" s="2952"/>
      <c r="M2" s="2952"/>
      <c r="N2" s="2952"/>
      <c r="O2" s="2952"/>
      <c r="P2" s="2952"/>
      <c r="Q2" s="2952"/>
      <c r="R2" s="2952"/>
      <c r="S2" s="2952"/>
      <c r="T2" s="2952"/>
      <c r="U2" s="2952"/>
      <c r="V2" s="2952"/>
      <c r="W2" s="2952"/>
      <c r="X2" s="2952"/>
      <c r="Y2" s="2953"/>
    </row>
    <row r="3" spans="1:30" s="132" customFormat="1" ht="20.25" customHeight="1">
      <c r="A3" s="3019" t="s">
        <v>73</v>
      </c>
      <c r="B3" s="3020"/>
      <c r="C3" s="3019" t="s">
        <v>43</v>
      </c>
      <c r="D3" s="3020"/>
      <c r="E3" s="3020"/>
      <c r="F3" s="3020"/>
      <c r="G3" s="3020"/>
      <c r="H3" s="3020"/>
      <c r="I3" s="3020"/>
      <c r="J3" s="3020"/>
      <c r="K3" s="3020"/>
      <c r="L3" s="3020"/>
      <c r="M3" s="3020"/>
      <c r="N3" s="3020"/>
      <c r="O3" s="3020"/>
      <c r="P3" s="3020"/>
      <c r="Q3" s="3020"/>
      <c r="R3" s="3020"/>
      <c r="S3" s="3019" t="s">
        <v>17</v>
      </c>
      <c r="T3" s="3020"/>
      <c r="U3" s="3020"/>
      <c r="V3" s="2835">
        <v>45473</v>
      </c>
      <c r="W3" s="2834"/>
      <c r="X3" s="62" t="s">
        <v>5</v>
      </c>
      <c r="Y3" s="63">
        <v>2024</v>
      </c>
      <c r="Z3" s="58"/>
      <c r="AA3" s="58"/>
      <c r="AB3" s="58"/>
      <c r="AC3" s="58"/>
      <c r="AD3" s="58"/>
    </row>
    <row r="4" spans="1:30" s="132" customFormat="1" ht="19.5" customHeight="1">
      <c r="A4" s="3017"/>
      <c r="B4" s="3017"/>
      <c r="C4" s="3017"/>
      <c r="D4" s="3017"/>
      <c r="E4" s="3017"/>
      <c r="F4" s="3017"/>
      <c r="G4" s="3017"/>
      <c r="H4" s="3017"/>
      <c r="I4" s="3017"/>
      <c r="J4" s="3017"/>
      <c r="K4" s="3017"/>
      <c r="L4" s="3017"/>
      <c r="M4" s="3017"/>
      <c r="N4" s="3017"/>
      <c r="O4" s="3017"/>
      <c r="P4" s="3017"/>
      <c r="Q4" s="3017"/>
      <c r="R4" s="3017"/>
      <c r="S4" s="3017"/>
      <c r="T4" s="3017"/>
      <c r="U4" s="3017"/>
      <c r="V4" s="3017"/>
      <c r="W4" s="3017"/>
      <c r="X4" s="3017"/>
      <c r="Y4" s="3018"/>
      <c r="Z4" s="58"/>
      <c r="AA4" s="58"/>
      <c r="AB4" s="58"/>
      <c r="AC4" s="58"/>
      <c r="AD4" s="58"/>
    </row>
    <row r="5" spans="1:30" s="132" customFormat="1"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7" t="s">
        <v>12</v>
      </c>
      <c r="O5" s="2837" t="s">
        <v>72</v>
      </c>
      <c r="P5" s="2839" t="s">
        <v>1</v>
      </c>
      <c r="Q5" s="2837" t="s">
        <v>13</v>
      </c>
      <c r="R5" s="2837" t="s">
        <v>14</v>
      </c>
      <c r="S5" s="2837" t="s">
        <v>16</v>
      </c>
      <c r="T5" s="2837" t="s">
        <v>15</v>
      </c>
      <c r="U5" s="2837" t="s">
        <v>89</v>
      </c>
      <c r="V5" s="2839" t="s">
        <v>6</v>
      </c>
      <c r="W5" s="2839" t="s">
        <v>7</v>
      </c>
      <c r="X5" s="2837" t="s">
        <v>0</v>
      </c>
      <c r="Y5" s="2838" t="s">
        <v>76</v>
      </c>
      <c r="Z5" s="58"/>
      <c r="AA5" s="58"/>
      <c r="AB5" s="58"/>
      <c r="AC5" s="58"/>
      <c r="AD5" s="58"/>
    </row>
    <row r="6" spans="1:30" s="132" customFormat="1" ht="42.75" customHeight="1">
      <c r="A6" s="3006"/>
      <c r="B6" s="3006"/>
      <c r="C6" s="3006"/>
      <c r="D6" s="3006"/>
      <c r="E6" s="3006"/>
      <c r="F6" s="3006"/>
      <c r="G6" s="3006"/>
      <c r="H6" s="3006"/>
      <c r="I6" s="3006"/>
      <c r="J6" s="3006"/>
      <c r="K6" s="3006"/>
      <c r="L6" s="3006"/>
      <c r="M6" s="2848"/>
      <c r="N6" s="3007"/>
      <c r="O6" s="3007"/>
      <c r="P6" s="3008"/>
      <c r="Q6" s="3007"/>
      <c r="R6" s="3007"/>
      <c r="S6" s="3007"/>
      <c r="T6" s="3007"/>
      <c r="U6" s="3007"/>
      <c r="V6" s="3008"/>
      <c r="W6" s="3008"/>
      <c r="X6" s="3007"/>
      <c r="Y6" s="2848"/>
      <c r="Z6" s="58"/>
      <c r="AA6" s="58"/>
      <c r="AB6" s="58"/>
      <c r="AC6" s="58"/>
      <c r="AD6" s="58"/>
    </row>
    <row r="7" spans="1:30">
      <c r="A7" s="2066"/>
      <c r="B7" s="2067">
        <v>51</v>
      </c>
      <c r="C7" s="2067" t="s">
        <v>100</v>
      </c>
      <c r="D7" s="2068" t="s">
        <v>1171</v>
      </c>
      <c r="E7" s="2069"/>
      <c r="F7" s="2069"/>
      <c r="G7" s="2069"/>
      <c r="H7" s="2069"/>
      <c r="I7" s="2069"/>
      <c r="J7" s="2069"/>
      <c r="K7" s="2069"/>
      <c r="L7" s="2070"/>
      <c r="M7" s="2071"/>
      <c r="N7" s="2072"/>
      <c r="O7" s="2072"/>
      <c r="P7" s="2073"/>
      <c r="Q7" s="2073"/>
      <c r="R7" s="2073"/>
      <c r="S7" s="2073"/>
      <c r="T7" s="2074"/>
      <c r="U7" s="2074"/>
      <c r="V7" s="2075"/>
      <c r="W7" s="2076"/>
      <c r="X7" s="2077"/>
      <c r="Y7" s="2078"/>
    </row>
    <row r="8" spans="1:30">
      <c r="A8" s="2066"/>
      <c r="B8" s="2067">
        <v>5101</v>
      </c>
      <c r="C8" s="2067" t="s">
        <v>101</v>
      </c>
      <c r="D8" s="2068" t="s">
        <v>135</v>
      </c>
      <c r="E8" s="2069"/>
      <c r="F8" s="2069"/>
      <c r="G8" s="2069"/>
      <c r="H8" s="2069"/>
      <c r="I8" s="2069"/>
      <c r="J8" s="2069"/>
      <c r="K8" s="2069"/>
      <c r="L8" s="2070"/>
      <c r="M8" s="2071"/>
      <c r="N8" s="2072"/>
      <c r="O8" s="2079"/>
      <c r="P8" s="2073"/>
      <c r="Q8" s="2073"/>
      <c r="R8" s="2073"/>
      <c r="S8" s="2073"/>
      <c r="T8" s="2074"/>
      <c r="U8" s="2074"/>
      <c r="V8" s="2075"/>
      <c r="W8" s="2076"/>
      <c r="X8" s="2077"/>
      <c r="Y8" s="2080"/>
    </row>
    <row r="9" spans="1:30">
      <c r="A9" s="2066"/>
      <c r="B9" s="2081">
        <v>5101001</v>
      </c>
      <c r="C9" s="2081" t="s">
        <v>102</v>
      </c>
      <c r="D9" s="2082" t="s">
        <v>136</v>
      </c>
      <c r="E9" s="2069"/>
      <c r="F9" s="2069"/>
      <c r="G9" s="2069"/>
      <c r="H9" s="2069"/>
      <c r="I9" s="2069"/>
      <c r="J9" s="2069"/>
      <c r="K9" s="2069"/>
      <c r="L9" s="2070"/>
      <c r="M9" s="2083"/>
      <c r="N9" s="2084"/>
      <c r="O9" s="2085"/>
      <c r="P9" s="2086"/>
      <c r="Q9" s="2086"/>
      <c r="R9" s="2086"/>
      <c r="S9" s="2086"/>
      <c r="T9" s="2087"/>
      <c r="U9" s="2087"/>
      <c r="V9" s="2088"/>
      <c r="W9" s="2089"/>
      <c r="X9" s="2090"/>
      <c r="Y9" s="2091"/>
    </row>
    <row r="10" spans="1:30" ht="33">
      <c r="A10" s="2066"/>
      <c r="B10" s="2092">
        <v>51010010028</v>
      </c>
      <c r="C10" s="2092" t="s">
        <v>103</v>
      </c>
      <c r="D10" s="2082" t="s">
        <v>1172</v>
      </c>
      <c r="E10" s="2069"/>
      <c r="F10" s="2093">
        <v>92</v>
      </c>
      <c r="G10" s="2069"/>
      <c r="H10" s="2069"/>
      <c r="I10" s="2069"/>
      <c r="J10" s="2069"/>
      <c r="K10" s="2069"/>
      <c r="L10" s="2070"/>
      <c r="M10" s="237"/>
      <c r="N10" s="1043"/>
      <c r="O10" s="2094"/>
      <c r="P10" s="450"/>
      <c r="Q10" s="450"/>
      <c r="R10" s="450"/>
      <c r="S10" s="450"/>
      <c r="T10" s="407"/>
      <c r="U10" s="407"/>
      <c r="V10" s="240"/>
      <c r="W10" s="240"/>
      <c r="X10" s="891"/>
      <c r="Y10" s="879"/>
    </row>
    <row r="11" spans="1:30">
      <c r="A11" s="3014">
        <v>4143</v>
      </c>
      <c r="B11" s="2095"/>
      <c r="C11" s="3025" t="s">
        <v>109</v>
      </c>
      <c r="D11" s="3015" t="s">
        <v>1173</v>
      </c>
      <c r="E11" s="2096" t="s">
        <v>4923</v>
      </c>
      <c r="F11" s="2097"/>
      <c r="G11" s="2097"/>
      <c r="H11" s="2097"/>
      <c r="I11" s="2098"/>
      <c r="J11" s="2098"/>
      <c r="K11" s="2099">
        <f t="shared" ref="K11:L11" si="0">SUM(K12)</f>
        <v>158793</v>
      </c>
      <c r="L11" s="2100">
        <f t="shared" si="0"/>
        <v>1</v>
      </c>
      <c r="M11" s="417"/>
      <c r="N11" s="2101">
        <f>N12</f>
        <v>0.05</v>
      </c>
      <c r="O11" s="2826">
        <f>IF(Q11=0,"na",N11)</f>
        <v>0.05</v>
      </c>
      <c r="P11" s="2102">
        <f t="shared" ref="P11:S11" si="1">SUM(P12)</f>
        <v>2055022662</v>
      </c>
      <c r="Q11" s="2102">
        <f t="shared" si="1"/>
        <v>2055022662</v>
      </c>
      <c r="R11" s="2102">
        <f t="shared" si="1"/>
        <v>1438515858</v>
      </c>
      <c r="S11" s="2102">
        <f t="shared" si="1"/>
        <v>0</v>
      </c>
      <c r="T11" s="2101">
        <f t="shared" ref="T11:U12" si="2">IF(Q11=0,0,R11/Q11)</f>
        <v>0.69999999737229179</v>
      </c>
      <c r="U11" s="2103">
        <f t="shared" si="2"/>
        <v>0</v>
      </c>
      <c r="V11" s="453"/>
      <c r="W11" s="453"/>
      <c r="X11" s="863"/>
      <c r="Y11" s="2841" t="s">
        <v>1174</v>
      </c>
    </row>
    <row r="12" spans="1:30" ht="40.5">
      <c r="A12" s="2825"/>
      <c r="B12" s="2104"/>
      <c r="C12" s="2825"/>
      <c r="D12" s="2825"/>
      <c r="E12" s="2066" t="s">
        <v>1175</v>
      </c>
      <c r="F12" s="2105"/>
      <c r="G12" s="2105"/>
      <c r="H12" s="2105"/>
      <c r="I12" s="2106" t="s">
        <v>1176</v>
      </c>
      <c r="J12" s="2106" t="s">
        <v>1177</v>
      </c>
      <c r="K12" s="2107">
        <v>158793</v>
      </c>
      <c r="L12" s="2108">
        <v>1</v>
      </c>
      <c r="M12" s="417">
        <v>0</v>
      </c>
      <c r="N12" s="2109">
        <v>0.05</v>
      </c>
      <c r="O12" s="2825"/>
      <c r="P12" s="2102">
        <v>2055022662</v>
      </c>
      <c r="Q12" s="2102">
        <v>2055022662</v>
      </c>
      <c r="R12" s="2102">
        <v>1438515858</v>
      </c>
      <c r="S12" s="2102">
        <v>0</v>
      </c>
      <c r="T12" s="2110">
        <f t="shared" si="2"/>
        <v>0.69999999737229179</v>
      </c>
      <c r="U12" s="2111">
        <f t="shared" si="2"/>
        <v>0</v>
      </c>
      <c r="V12" s="2112">
        <v>45464</v>
      </c>
      <c r="W12" s="453">
        <v>45627</v>
      </c>
      <c r="X12" s="213" t="s">
        <v>4924</v>
      </c>
      <c r="Y12" s="2842"/>
    </row>
    <row r="13" spans="1:30">
      <c r="A13" s="2066"/>
      <c r="B13" s="2113">
        <v>52</v>
      </c>
      <c r="C13" s="2113" t="s">
        <v>100</v>
      </c>
      <c r="D13" s="2068" t="s">
        <v>148</v>
      </c>
      <c r="E13" s="2097"/>
      <c r="F13" s="2097"/>
      <c r="G13" s="2097"/>
      <c r="H13" s="2097"/>
      <c r="I13" s="2097"/>
      <c r="J13" s="2097"/>
      <c r="K13" s="2097"/>
      <c r="L13" s="2114"/>
      <c r="M13" s="417"/>
      <c r="N13" s="2109"/>
      <c r="O13" s="452"/>
      <c r="P13" s="2115"/>
      <c r="Q13" s="2115"/>
      <c r="R13" s="2115"/>
      <c r="S13" s="2115"/>
      <c r="T13" s="2101"/>
      <c r="U13" s="2101"/>
      <c r="V13" s="453"/>
      <c r="W13" s="453"/>
      <c r="X13" s="863"/>
      <c r="Y13" s="2116"/>
    </row>
    <row r="14" spans="1:30">
      <c r="A14" s="2066"/>
      <c r="B14" s="2113">
        <v>5201</v>
      </c>
      <c r="C14" s="2113" t="s">
        <v>101</v>
      </c>
      <c r="D14" s="2068" t="s">
        <v>1178</v>
      </c>
      <c r="E14" s="2069"/>
      <c r="F14" s="2069"/>
      <c r="G14" s="2069"/>
      <c r="H14" s="2069"/>
      <c r="I14" s="2069"/>
      <c r="J14" s="2069"/>
      <c r="K14" s="2069"/>
      <c r="L14" s="2070"/>
      <c r="M14" s="417"/>
      <c r="N14" s="2109"/>
      <c r="O14" s="452"/>
      <c r="P14" s="2115"/>
      <c r="Q14" s="2115"/>
      <c r="R14" s="2115"/>
      <c r="S14" s="2115"/>
      <c r="T14" s="2101"/>
      <c r="U14" s="2101"/>
      <c r="V14" s="453"/>
      <c r="W14" s="453"/>
      <c r="X14" s="863"/>
      <c r="Y14" s="2116"/>
    </row>
    <row r="15" spans="1:30">
      <c r="A15" s="2066"/>
      <c r="B15" s="2092">
        <v>5201001</v>
      </c>
      <c r="C15" s="2092" t="s">
        <v>102</v>
      </c>
      <c r="D15" s="2082" t="s">
        <v>1179</v>
      </c>
      <c r="E15" s="2069"/>
      <c r="F15" s="2069"/>
      <c r="G15" s="2069"/>
      <c r="H15" s="2069"/>
      <c r="I15" s="2069"/>
      <c r="J15" s="2069"/>
      <c r="K15" s="2069"/>
      <c r="L15" s="2070"/>
      <c r="M15" s="417"/>
      <c r="N15" s="2109"/>
      <c r="O15" s="452"/>
      <c r="P15" s="2115"/>
      <c r="Q15" s="2115"/>
      <c r="R15" s="2115"/>
      <c r="S15" s="2115"/>
      <c r="T15" s="2101"/>
      <c r="U15" s="2101"/>
      <c r="V15" s="453"/>
      <c r="W15" s="453"/>
      <c r="X15" s="863"/>
      <c r="Y15" s="2117"/>
    </row>
    <row r="16" spans="1:30" ht="33">
      <c r="A16" s="2066"/>
      <c r="B16" s="2081">
        <v>52010010015</v>
      </c>
      <c r="C16" s="2081" t="s">
        <v>103</v>
      </c>
      <c r="D16" s="2082" t="s">
        <v>1180</v>
      </c>
      <c r="E16" s="2069"/>
      <c r="F16" s="2118">
        <v>30</v>
      </c>
      <c r="G16" s="2069"/>
      <c r="H16" s="2069"/>
      <c r="I16" s="2069"/>
      <c r="J16" s="2069"/>
      <c r="K16" s="2069"/>
      <c r="L16" s="2070"/>
      <c r="M16" s="417"/>
      <c r="N16" s="2109"/>
      <c r="O16" s="452"/>
      <c r="P16" s="2115"/>
      <c r="Q16" s="2115"/>
      <c r="R16" s="2115"/>
      <c r="S16" s="2115"/>
      <c r="T16" s="2101"/>
      <c r="U16" s="2101"/>
      <c r="V16" s="453"/>
      <c r="W16" s="453"/>
      <c r="X16" s="863"/>
      <c r="Y16" s="895"/>
    </row>
    <row r="17" spans="1:25">
      <c r="A17" s="3014">
        <v>4143</v>
      </c>
      <c r="B17" s="2069"/>
      <c r="C17" s="3016" t="s">
        <v>109</v>
      </c>
      <c r="D17" s="3015" t="s">
        <v>1181</v>
      </c>
      <c r="E17" s="2096" t="s">
        <v>4925</v>
      </c>
      <c r="F17" s="2097"/>
      <c r="G17" s="2097"/>
      <c r="H17" s="2119"/>
      <c r="I17" s="2098"/>
      <c r="J17" s="2098"/>
      <c r="K17" s="2120">
        <f>K19</f>
        <v>30</v>
      </c>
      <c r="L17" s="2100">
        <f>SUM(L18:L19)</f>
        <v>1</v>
      </c>
      <c r="M17" s="417"/>
      <c r="N17" s="2101">
        <f>SUM(N18:N19)</f>
        <v>0</v>
      </c>
      <c r="O17" s="2826">
        <f>IF(Q17=0,"na",N17)</f>
        <v>0</v>
      </c>
      <c r="P17" s="2102">
        <f t="shared" ref="P17:S17" si="3">SUM(P18:P19)</f>
        <v>500000000</v>
      </c>
      <c r="Q17" s="2102">
        <f t="shared" si="3"/>
        <v>500000000</v>
      </c>
      <c r="R17" s="2102">
        <f t="shared" si="3"/>
        <v>0</v>
      </c>
      <c r="S17" s="2102">
        <f t="shared" si="3"/>
        <v>0</v>
      </c>
      <c r="T17" s="2110">
        <f t="shared" ref="T17:U19" si="4">IF(Q17=0,0,R17/Q17)</f>
        <v>0</v>
      </c>
      <c r="U17" s="2111">
        <f t="shared" si="4"/>
        <v>0</v>
      </c>
      <c r="V17" s="453"/>
      <c r="W17" s="453"/>
      <c r="X17" s="863"/>
      <c r="Y17" s="3024" t="s">
        <v>1182</v>
      </c>
    </row>
    <row r="18" spans="1:25" ht="54">
      <c r="A18" s="2824"/>
      <c r="B18" s="2069"/>
      <c r="C18" s="2824"/>
      <c r="D18" s="2824"/>
      <c r="E18" s="2096" t="s">
        <v>1183</v>
      </c>
      <c r="F18" s="2097"/>
      <c r="G18" s="2097"/>
      <c r="H18" s="2097"/>
      <c r="I18" s="2121" t="s">
        <v>1184</v>
      </c>
      <c r="J18" s="2121" t="s">
        <v>1185</v>
      </c>
      <c r="K18" s="2120">
        <v>1</v>
      </c>
      <c r="L18" s="2100">
        <v>0.7</v>
      </c>
      <c r="M18" s="417">
        <v>0</v>
      </c>
      <c r="N18" s="2101">
        <v>0</v>
      </c>
      <c r="O18" s="2824"/>
      <c r="P18" s="2102">
        <v>421151717</v>
      </c>
      <c r="Q18" s="2102">
        <v>421151717</v>
      </c>
      <c r="R18" s="2102">
        <v>0</v>
      </c>
      <c r="S18" s="2102">
        <v>0</v>
      </c>
      <c r="T18" s="2110">
        <f t="shared" si="4"/>
        <v>0</v>
      </c>
      <c r="U18" s="2111">
        <f t="shared" si="4"/>
        <v>0</v>
      </c>
      <c r="V18" s="453"/>
      <c r="W18" s="453"/>
      <c r="X18" s="213"/>
      <c r="Y18" s="2824"/>
    </row>
    <row r="19" spans="1:25" ht="54">
      <c r="A19" s="2825"/>
      <c r="B19" s="2069"/>
      <c r="C19" s="2825"/>
      <c r="D19" s="2825"/>
      <c r="E19" s="2096" t="s">
        <v>1186</v>
      </c>
      <c r="F19" s="2097"/>
      <c r="G19" s="2121" t="s">
        <v>1187</v>
      </c>
      <c r="H19" s="2122">
        <f>M19</f>
        <v>0</v>
      </c>
      <c r="I19" s="2121" t="s">
        <v>1188</v>
      </c>
      <c r="J19" s="2121" t="s">
        <v>1189</v>
      </c>
      <c r="K19" s="2120">
        <v>30</v>
      </c>
      <c r="L19" s="2100">
        <v>0.3</v>
      </c>
      <c r="M19" s="417">
        <v>0</v>
      </c>
      <c r="N19" s="2101">
        <v>0</v>
      </c>
      <c r="O19" s="2825"/>
      <c r="P19" s="2102">
        <v>78848283</v>
      </c>
      <c r="Q19" s="2102">
        <v>78848283</v>
      </c>
      <c r="R19" s="2102">
        <v>0</v>
      </c>
      <c r="S19" s="2102">
        <v>0</v>
      </c>
      <c r="T19" s="2110">
        <f t="shared" si="4"/>
        <v>0</v>
      </c>
      <c r="U19" s="2111">
        <f t="shared" si="4"/>
        <v>0</v>
      </c>
      <c r="V19" s="453"/>
      <c r="W19" s="453"/>
      <c r="X19" s="213"/>
      <c r="Y19" s="2825"/>
    </row>
    <row r="20" spans="1:25">
      <c r="A20" s="2066"/>
      <c r="B20" s="2118">
        <v>5201002</v>
      </c>
      <c r="C20" s="2092" t="s">
        <v>102</v>
      </c>
      <c r="D20" s="2082" t="s">
        <v>1190</v>
      </c>
      <c r="E20" s="2069"/>
      <c r="F20" s="2118">
        <v>92</v>
      </c>
      <c r="G20" s="2069"/>
      <c r="H20" s="2069"/>
      <c r="I20" s="2069"/>
      <c r="J20" s="2069"/>
      <c r="K20" s="2069"/>
      <c r="L20" s="2070"/>
      <c r="M20" s="417"/>
      <c r="N20" s="2101"/>
      <c r="O20" s="421"/>
      <c r="P20" s="2099"/>
      <c r="Q20" s="2099"/>
      <c r="R20" s="2099"/>
      <c r="S20" s="2099"/>
      <c r="T20" s="2123"/>
      <c r="U20" s="2123"/>
      <c r="V20" s="2124"/>
      <c r="W20" s="2124"/>
      <c r="X20" s="2125"/>
      <c r="Y20" s="2126"/>
    </row>
    <row r="21" spans="1:25" ht="49.5">
      <c r="A21" s="2066"/>
      <c r="B21" s="2118">
        <v>52010020004</v>
      </c>
      <c r="C21" s="2118" t="s">
        <v>103</v>
      </c>
      <c r="D21" s="2082" t="s">
        <v>1191</v>
      </c>
      <c r="E21" s="2127"/>
      <c r="F21" s="2127"/>
      <c r="G21" s="2127"/>
      <c r="H21" s="2127"/>
      <c r="I21" s="2127"/>
      <c r="J21" s="2127"/>
      <c r="K21" s="2127"/>
      <c r="L21" s="2128"/>
      <c r="M21" s="417"/>
      <c r="N21" s="2101"/>
      <c r="O21" s="421"/>
      <c r="P21" s="2099"/>
      <c r="Q21" s="2099"/>
      <c r="R21" s="2099"/>
      <c r="S21" s="2099"/>
      <c r="T21" s="2123"/>
      <c r="U21" s="2123"/>
      <c r="V21" s="2124"/>
      <c r="W21" s="2124"/>
      <c r="X21" s="2125"/>
      <c r="Y21" s="2126"/>
    </row>
    <row r="22" spans="1:25">
      <c r="A22" s="3014">
        <v>4143</v>
      </c>
      <c r="B22" s="2069"/>
      <c r="C22" s="3016" t="s">
        <v>109</v>
      </c>
      <c r="D22" s="3015" t="s">
        <v>1192</v>
      </c>
      <c r="E22" s="2122" t="s">
        <v>4926</v>
      </c>
      <c r="F22" s="2070"/>
      <c r="G22" s="2069"/>
      <c r="H22" s="2129"/>
      <c r="I22" s="2098"/>
      <c r="J22" s="2098"/>
      <c r="K22" s="2098"/>
      <c r="L22" s="2130">
        <f>SUM(L23:L24)</f>
        <v>1</v>
      </c>
      <c r="M22" s="417"/>
      <c r="N22" s="2101">
        <f>SUM(N23:N24)</f>
        <v>0.04</v>
      </c>
      <c r="O22" s="2826">
        <f>IF(Q22=0,"na",N22)</f>
        <v>0.04</v>
      </c>
      <c r="P22" s="2115">
        <f t="shared" ref="P22:S22" si="5">SUM(P23:P24)</f>
        <v>1000000000</v>
      </c>
      <c r="Q22" s="2115">
        <f t="shared" si="5"/>
        <v>4636995000</v>
      </c>
      <c r="R22" s="2115">
        <f t="shared" si="5"/>
        <v>3559898670</v>
      </c>
      <c r="S22" s="2115">
        <f t="shared" si="5"/>
        <v>0</v>
      </c>
      <c r="T22" s="2110">
        <f t="shared" ref="T22:U24" si="6">IF(Q22=0,0,R22/Q22)</f>
        <v>0.76771673680907571</v>
      </c>
      <c r="U22" s="2111">
        <f t="shared" si="6"/>
        <v>0</v>
      </c>
      <c r="V22" s="453"/>
      <c r="W22" s="453"/>
      <c r="X22" s="863"/>
      <c r="Y22" s="3026" t="s">
        <v>1182</v>
      </c>
    </row>
    <row r="23" spans="1:25" ht="81">
      <c r="A23" s="2824"/>
      <c r="B23" s="2069"/>
      <c r="C23" s="2824"/>
      <c r="D23" s="2824"/>
      <c r="E23" s="2122" t="s">
        <v>1193</v>
      </c>
      <c r="F23" s="2069"/>
      <c r="G23" s="2131" t="s">
        <v>1194</v>
      </c>
      <c r="H23" s="2122">
        <f>M23</f>
        <v>0</v>
      </c>
      <c r="I23" s="2131" t="s">
        <v>1195</v>
      </c>
      <c r="J23" s="2131" t="s">
        <v>1189</v>
      </c>
      <c r="K23" s="2120">
        <v>92</v>
      </c>
      <c r="L23" s="2100">
        <v>0.8</v>
      </c>
      <c r="M23" s="417">
        <v>0</v>
      </c>
      <c r="N23" s="2101">
        <v>0.04</v>
      </c>
      <c r="O23" s="2824"/>
      <c r="P23" s="2102">
        <v>1000000000</v>
      </c>
      <c r="Q23" s="2102">
        <v>4585374000</v>
      </c>
      <c r="R23" s="2102">
        <v>3559898670</v>
      </c>
      <c r="S23" s="2102">
        <v>0</v>
      </c>
      <c r="T23" s="2110">
        <f t="shared" si="6"/>
        <v>0.77635950088258887</v>
      </c>
      <c r="U23" s="2111">
        <f t="shared" si="6"/>
        <v>0</v>
      </c>
      <c r="V23" s="453">
        <v>45469</v>
      </c>
      <c r="W23" s="2124">
        <v>45653</v>
      </c>
      <c r="X23" s="2132" t="s">
        <v>4927</v>
      </c>
      <c r="Y23" s="2824"/>
    </row>
    <row r="24" spans="1:25" ht="54">
      <c r="A24" s="2825"/>
      <c r="B24" s="2069"/>
      <c r="C24" s="2825"/>
      <c r="D24" s="2825"/>
      <c r="E24" s="2122" t="s">
        <v>4928</v>
      </c>
      <c r="F24" s="2069"/>
      <c r="G24" s="2131"/>
      <c r="H24" s="2133"/>
      <c r="I24" s="2131" t="s">
        <v>4929</v>
      </c>
      <c r="J24" s="2131" t="s">
        <v>4930</v>
      </c>
      <c r="K24" s="2120">
        <v>1</v>
      </c>
      <c r="L24" s="2100">
        <v>0.2</v>
      </c>
      <c r="M24" s="417">
        <v>0</v>
      </c>
      <c r="N24" s="2101">
        <v>0</v>
      </c>
      <c r="O24" s="2825"/>
      <c r="P24" s="2102">
        <v>0</v>
      </c>
      <c r="Q24" s="2102">
        <v>51621000</v>
      </c>
      <c r="R24" s="2102">
        <v>0</v>
      </c>
      <c r="S24" s="2102">
        <v>0</v>
      </c>
      <c r="T24" s="2110">
        <f t="shared" si="6"/>
        <v>0</v>
      </c>
      <c r="U24" s="2111">
        <f t="shared" si="6"/>
        <v>0</v>
      </c>
      <c r="V24" s="453"/>
      <c r="W24" s="2124"/>
      <c r="X24" s="2132"/>
      <c r="Y24" s="2825"/>
    </row>
    <row r="25" spans="1:25" ht="33">
      <c r="A25" s="2066"/>
      <c r="B25" s="2118">
        <v>5201004</v>
      </c>
      <c r="C25" s="2118" t="s">
        <v>102</v>
      </c>
      <c r="D25" s="2082" t="s">
        <v>1196</v>
      </c>
      <c r="E25" s="2069"/>
      <c r="F25" s="2069"/>
      <c r="G25" s="2069"/>
      <c r="H25" s="2069"/>
      <c r="I25" s="2069"/>
      <c r="J25" s="2069"/>
      <c r="K25" s="2069"/>
      <c r="L25" s="2070"/>
      <c r="M25" s="417"/>
      <c r="N25" s="2101"/>
      <c r="O25" s="421"/>
      <c r="P25" s="2099"/>
      <c r="Q25" s="2099"/>
      <c r="R25" s="2099"/>
      <c r="S25" s="2099"/>
      <c r="T25" s="2123"/>
      <c r="U25" s="2123"/>
      <c r="V25" s="2124"/>
      <c r="W25" s="2124"/>
      <c r="X25" s="2125"/>
      <c r="Y25" s="2126"/>
    </row>
    <row r="26" spans="1:25" ht="33">
      <c r="A26" s="2066"/>
      <c r="B26" s="2118">
        <v>52010040008</v>
      </c>
      <c r="C26" s="2118" t="s">
        <v>103</v>
      </c>
      <c r="D26" s="2082" t="s">
        <v>1197</v>
      </c>
      <c r="E26" s="2069"/>
      <c r="F26" s="2134">
        <v>1</v>
      </c>
      <c r="G26" s="2069"/>
      <c r="H26" s="2069"/>
      <c r="I26" s="2069"/>
      <c r="J26" s="2069"/>
      <c r="K26" s="2069"/>
      <c r="L26" s="2070"/>
      <c r="M26" s="417"/>
      <c r="N26" s="2101"/>
      <c r="O26" s="421"/>
      <c r="P26" s="2099"/>
      <c r="Q26" s="2099"/>
      <c r="R26" s="2099"/>
      <c r="S26" s="2099"/>
      <c r="T26" s="2123"/>
      <c r="U26" s="2123"/>
      <c r="V26" s="2124"/>
      <c r="W26" s="2124"/>
      <c r="X26" s="2125"/>
      <c r="Y26" s="2126"/>
    </row>
    <row r="27" spans="1:25">
      <c r="A27" s="3014">
        <v>4143</v>
      </c>
      <c r="B27" s="2069"/>
      <c r="C27" s="3016" t="s">
        <v>109</v>
      </c>
      <c r="D27" s="3015" t="s">
        <v>1198</v>
      </c>
      <c r="E27" s="2122" t="s">
        <v>4931</v>
      </c>
      <c r="F27" s="2097"/>
      <c r="G27" s="2097"/>
      <c r="H27" s="2135"/>
      <c r="I27" s="2098"/>
      <c r="J27" s="2098"/>
      <c r="K27" s="2098"/>
      <c r="L27" s="2130">
        <f>SUM(L28:L30)</f>
        <v>1</v>
      </c>
      <c r="M27" s="417"/>
      <c r="N27" s="2101">
        <f>SUM(N28:N30)</f>
        <v>0</v>
      </c>
      <c r="O27" s="2826">
        <f>IF(Q27=0,"na",N27)</f>
        <v>0</v>
      </c>
      <c r="P27" s="2102">
        <f t="shared" ref="P27:S27" si="7">SUM(P28:P30)</f>
        <v>266562045</v>
      </c>
      <c r="Q27" s="2102">
        <f t="shared" si="7"/>
        <v>266562045</v>
      </c>
      <c r="R27" s="2102">
        <f t="shared" si="7"/>
        <v>0</v>
      </c>
      <c r="S27" s="2102">
        <f t="shared" si="7"/>
        <v>0</v>
      </c>
      <c r="T27" s="2110">
        <f t="shared" ref="T27:U30" si="8">IF(Q27=0,0,R27/Q27)</f>
        <v>0</v>
      </c>
      <c r="U27" s="2111">
        <f t="shared" si="8"/>
        <v>0</v>
      </c>
      <c r="V27" s="453"/>
      <c r="W27" s="2124"/>
      <c r="X27" s="2125"/>
      <c r="Y27" s="3023" t="s">
        <v>1199</v>
      </c>
    </row>
    <row r="28" spans="1:25" ht="40.5">
      <c r="A28" s="2824"/>
      <c r="B28" s="2097"/>
      <c r="C28" s="2824"/>
      <c r="D28" s="2824"/>
      <c r="E28" s="2122" t="s">
        <v>1200</v>
      </c>
      <c r="F28" s="2097"/>
      <c r="G28" s="2097"/>
      <c r="H28" s="2097"/>
      <c r="I28" s="2121" t="s">
        <v>1201</v>
      </c>
      <c r="J28" s="2121" t="s">
        <v>1202</v>
      </c>
      <c r="K28" s="2120">
        <v>1</v>
      </c>
      <c r="L28" s="2100">
        <v>0.4</v>
      </c>
      <c r="M28" s="417">
        <v>0</v>
      </c>
      <c r="N28" s="2101">
        <v>0</v>
      </c>
      <c r="O28" s="2824"/>
      <c r="P28" s="2102">
        <v>31262165</v>
      </c>
      <c r="Q28" s="2102">
        <v>31262165</v>
      </c>
      <c r="R28" s="2102">
        <v>0</v>
      </c>
      <c r="S28" s="2102">
        <v>0</v>
      </c>
      <c r="T28" s="2110">
        <f t="shared" si="8"/>
        <v>0</v>
      </c>
      <c r="U28" s="2111">
        <f t="shared" si="8"/>
        <v>0</v>
      </c>
      <c r="V28" s="453"/>
      <c r="W28" s="2124"/>
      <c r="X28" s="2132"/>
      <c r="Y28" s="2824"/>
    </row>
    <row r="29" spans="1:25" ht="54">
      <c r="A29" s="2824"/>
      <c r="B29" s="2097"/>
      <c r="C29" s="2824"/>
      <c r="D29" s="2824"/>
      <c r="E29" s="2122" t="s">
        <v>1203</v>
      </c>
      <c r="F29" s="2097"/>
      <c r="G29" s="2097"/>
      <c r="H29" s="2097"/>
      <c r="I29" s="2121" t="s">
        <v>1204</v>
      </c>
      <c r="J29" s="2121" t="s">
        <v>1205</v>
      </c>
      <c r="K29" s="2120">
        <v>26</v>
      </c>
      <c r="L29" s="2100">
        <v>0.2</v>
      </c>
      <c r="M29" s="417">
        <v>0</v>
      </c>
      <c r="N29" s="2101">
        <v>0</v>
      </c>
      <c r="O29" s="2824"/>
      <c r="P29" s="2102">
        <v>83588508</v>
      </c>
      <c r="Q29" s="2102">
        <v>83588508</v>
      </c>
      <c r="R29" s="2102">
        <v>0</v>
      </c>
      <c r="S29" s="2102">
        <v>0</v>
      </c>
      <c r="T29" s="2110">
        <f t="shared" si="8"/>
        <v>0</v>
      </c>
      <c r="U29" s="2111">
        <f t="shared" si="8"/>
        <v>0</v>
      </c>
      <c r="V29" s="453"/>
      <c r="W29" s="453"/>
      <c r="X29" s="213"/>
      <c r="Y29" s="2824"/>
    </row>
    <row r="30" spans="1:25" ht="54">
      <c r="A30" s="2825"/>
      <c r="B30" s="2097"/>
      <c r="C30" s="2825"/>
      <c r="D30" s="2825"/>
      <c r="E30" s="2122" t="s">
        <v>1206</v>
      </c>
      <c r="F30" s="2097"/>
      <c r="G30" s="2121" t="s">
        <v>1207</v>
      </c>
      <c r="H30" s="2122">
        <f>M30</f>
        <v>0</v>
      </c>
      <c r="I30" s="2121" t="s">
        <v>1208</v>
      </c>
      <c r="J30" s="2121" t="s">
        <v>1209</v>
      </c>
      <c r="K30" s="2120">
        <v>1</v>
      </c>
      <c r="L30" s="2100">
        <v>0.4</v>
      </c>
      <c r="M30" s="417">
        <v>0</v>
      </c>
      <c r="N30" s="2101">
        <v>0</v>
      </c>
      <c r="O30" s="2825"/>
      <c r="P30" s="2102">
        <v>151711372</v>
      </c>
      <c r="Q30" s="2102">
        <v>151711372</v>
      </c>
      <c r="R30" s="2102">
        <v>0</v>
      </c>
      <c r="S30" s="2102">
        <v>0</v>
      </c>
      <c r="T30" s="2110">
        <f t="shared" si="8"/>
        <v>0</v>
      </c>
      <c r="U30" s="2111">
        <f t="shared" si="8"/>
        <v>0</v>
      </c>
      <c r="V30" s="453"/>
      <c r="W30" s="453"/>
      <c r="X30" s="213"/>
      <c r="Y30" s="2825"/>
    </row>
    <row r="31" spans="1:25">
      <c r="A31" s="2066"/>
      <c r="B31" s="2136">
        <v>5202</v>
      </c>
      <c r="C31" s="2136" t="s">
        <v>101</v>
      </c>
      <c r="D31" s="2068" t="s">
        <v>1210</v>
      </c>
      <c r="E31" s="2069"/>
      <c r="F31" s="2069"/>
      <c r="G31" s="2069"/>
      <c r="H31" s="2069"/>
      <c r="I31" s="2069"/>
      <c r="J31" s="2069"/>
      <c r="K31" s="2069"/>
      <c r="L31" s="2070"/>
      <c r="M31" s="417"/>
      <c r="N31" s="2101"/>
      <c r="O31" s="421"/>
      <c r="P31" s="2099"/>
      <c r="Q31" s="2099"/>
      <c r="R31" s="2099"/>
      <c r="S31" s="2099"/>
      <c r="T31" s="2123"/>
      <c r="U31" s="2123"/>
      <c r="V31" s="2124"/>
      <c r="W31" s="2124"/>
      <c r="X31" s="2125"/>
      <c r="Y31" s="2126"/>
    </row>
    <row r="32" spans="1:25" ht="49.5">
      <c r="A32" s="2066"/>
      <c r="B32" s="2118">
        <v>5202005</v>
      </c>
      <c r="C32" s="2118" t="s">
        <v>102</v>
      </c>
      <c r="D32" s="2082" t="s">
        <v>1211</v>
      </c>
      <c r="E32" s="2069"/>
      <c r="F32" s="2069"/>
      <c r="G32" s="2069"/>
      <c r="H32" s="2069"/>
      <c r="I32" s="2069"/>
      <c r="J32" s="2069"/>
      <c r="K32" s="2069"/>
      <c r="L32" s="2070"/>
      <c r="M32" s="417"/>
      <c r="N32" s="2101"/>
      <c r="O32" s="421"/>
      <c r="P32" s="2099"/>
      <c r="Q32" s="2099"/>
      <c r="R32" s="2099"/>
      <c r="S32" s="2099"/>
      <c r="T32" s="2123"/>
      <c r="U32" s="2123"/>
      <c r="V32" s="2124"/>
      <c r="W32" s="2124"/>
      <c r="X32" s="2125"/>
      <c r="Y32" s="2126"/>
    </row>
    <row r="33" spans="1:25" ht="66">
      <c r="A33" s="2066"/>
      <c r="B33" s="2118">
        <v>52020050006</v>
      </c>
      <c r="C33" s="2118" t="s">
        <v>103</v>
      </c>
      <c r="D33" s="2082" t="s">
        <v>1212</v>
      </c>
      <c r="E33" s="2069"/>
      <c r="F33" s="2137">
        <v>4826</v>
      </c>
      <c r="G33" s="2069"/>
      <c r="H33" s="2069"/>
      <c r="I33" s="2069"/>
      <c r="J33" s="2069"/>
      <c r="K33" s="2069"/>
      <c r="L33" s="2070"/>
      <c r="M33" s="417"/>
      <c r="N33" s="2101"/>
      <c r="O33" s="421"/>
      <c r="P33" s="2115"/>
      <c r="Q33" s="2115"/>
      <c r="R33" s="2115"/>
      <c r="S33" s="2115"/>
      <c r="T33" s="2101"/>
      <c r="U33" s="2101"/>
      <c r="V33" s="453"/>
      <c r="W33" s="453"/>
      <c r="X33" s="863"/>
      <c r="Y33" s="2126"/>
    </row>
    <row r="34" spans="1:25">
      <c r="A34" s="3014">
        <v>4143</v>
      </c>
      <c r="B34" s="2069"/>
      <c r="C34" s="3016" t="s">
        <v>109</v>
      </c>
      <c r="D34" s="3015" t="s">
        <v>1213</v>
      </c>
      <c r="E34" s="2122" t="s">
        <v>4932</v>
      </c>
      <c r="F34" s="2097"/>
      <c r="G34" s="2097"/>
      <c r="H34" s="2122">
        <f>SUM(H35,H37)</f>
        <v>3819</v>
      </c>
      <c r="I34" s="2098"/>
      <c r="J34" s="2098"/>
      <c r="K34" s="2098"/>
      <c r="L34" s="2100">
        <f>SUM(L35:L37)</f>
        <v>1</v>
      </c>
      <c r="M34" s="417"/>
      <c r="N34" s="2101">
        <f>SUM(N35:N37)</f>
        <v>0.26300000000000001</v>
      </c>
      <c r="O34" s="2826">
        <f>IF(Q34=0,"na",N34)</f>
        <v>0.26300000000000001</v>
      </c>
      <c r="P34" s="2115">
        <f t="shared" ref="P34:S34" si="9">SUM(P35:P37)</f>
        <v>4060512605</v>
      </c>
      <c r="Q34" s="2115">
        <f t="shared" si="9"/>
        <v>5060127666</v>
      </c>
      <c r="R34" s="2115">
        <f t="shared" si="9"/>
        <v>3738322000</v>
      </c>
      <c r="S34" s="2115">
        <f t="shared" si="9"/>
        <v>1150550006</v>
      </c>
      <c r="T34" s="2110">
        <f t="shared" ref="T34:U37" si="10">IF(Q34=0,0,R34/Q34)</f>
        <v>0.73878017448423805</v>
      </c>
      <c r="U34" s="2111">
        <f t="shared" si="10"/>
        <v>0.30777177728403277</v>
      </c>
      <c r="V34" s="453"/>
      <c r="W34" s="453"/>
      <c r="X34" s="863"/>
      <c r="Y34" s="3023" t="s">
        <v>1199</v>
      </c>
    </row>
    <row r="35" spans="1:25" ht="94.5">
      <c r="A35" s="2824"/>
      <c r="B35" s="2069"/>
      <c r="C35" s="2824"/>
      <c r="D35" s="2824"/>
      <c r="E35" s="2122" t="s">
        <v>1214</v>
      </c>
      <c r="F35" s="2097"/>
      <c r="G35" s="2121" t="s">
        <v>1215</v>
      </c>
      <c r="H35" s="2122">
        <f>M35</f>
        <v>3140</v>
      </c>
      <c r="I35" s="2121" t="s">
        <v>1216</v>
      </c>
      <c r="J35" s="2121" t="s">
        <v>1217</v>
      </c>
      <c r="K35" s="2138">
        <v>3351</v>
      </c>
      <c r="L35" s="2108">
        <v>0.5</v>
      </c>
      <c r="M35" s="326">
        <v>3140</v>
      </c>
      <c r="N35" s="2101">
        <v>0.16300000000000001</v>
      </c>
      <c r="O35" s="2824"/>
      <c r="P35" s="2102">
        <v>2988512605</v>
      </c>
      <c r="Q35" s="2102">
        <v>2987263000</v>
      </c>
      <c r="R35" s="2102">
        <v>2139286000</v>
      </c>
      <c r="S35" s="2102">
        <v>784737000</v>
      </c>
      <c r="T35" s="2110">
        <f t="shared" si="10"/>
        <v>0.71613580725901937</v>
      </c>
      <c r="U35" s="2111">
        <f t="shared" si="10"/>
        <v>0.366821920958675</v>
      </c>
      <c r="V35" s="453" t="s">
        <v>1218</v>
      </c>
      <c r="W35" s="453">
        <v>45626</v>
      </c>
      <c r="X35" s="213" t="s">
        <v>4933</v>
      </c>
      <c r="Y35" s="2824"/>
    </row>
    <row r="36" spans="1:25" ht="54">
      <c r="A36" s="2824"/>
      <c r="B36" s="2069"/>
      <c r="C36" s="2824"/>
      <c r="D36" s="2824"/>
      <c r="E36" s="2122" t="s">
        <v>1219</v>
      </c>
      <c r="F36" s="2097"/>
      <c r="G36" s="2097"/>
      <c r="H36" s="2097"/>
      <c r="I36" s="2121" t="s">
        <v>1220</v>
      </c>
      <c r="J36" s="2121" t="s">
        <v>1205</v>
      </c>
      <c r="K36" s="2138">
        <v>60</v>
      </c>
      <c r="L36" s="2108">
        <v>0.25</v>
      </c>
      <c r="M36" s="326">
        <v>0</v>
      </c>
      <c r="N36" s="2101">
        <v>0</v>
      </c>
      <c r="O36" s="2824"/>
      <c r="P36" s="2102">
        <v>72602500</v>
      </c>
      <c r="Q36" s="2102">
        <v>74069666</v>
      </c>
      <c r="R36" s="2102">
        <v>0</v>
      </c>
      <c r="S36" s="2102">
        <v>0</v>
      </c>
      <c r="T36" s="2110">
        <f t="shared" si="10"/>
        <v>0</v>
      </c>
      <c r="U36" s="2111">
        <f t="shared" si="10"/>
        <v>0</v>
      </c>
      <c r="V36" s="453"/>
      <c r="W36" s="453"/>
      <c r="X36" s="863"/>
      <c r="Y36" s="2824"/>
    </row>
    <row r="37" spans="1:25" ht="81">
      <c r="A37" s="2825"/>
      <c r="B37" s="2069"/>
      <c r="C37" s="2825"/>
      <c r="D37" s="2825"/>
      <c r="E37" s="2122" t="s">
        <v>1221</v>
      </c>
      <c r="F37" s="2119"/>
      <c r="G37" s="2121" t="s">
        <v>1215</v>
      </c>
      <c r="H37" s="2122">
        <f>M37</f>
        <v>679</v>
      </c>
      <c r="I37" s="2121" t="s">
        <v>1222</v>
      </c>
      <c r="J37" s="2121" t="s">
        <v>1223</v>
      </c>
      <c r="K37" s="2138">
        <v>679</v>
      </c>
      <c r="L37" s="2108">
        <v>0.25</v>
      </c>
      <c r="M37" s="326">
        <v>679</v>
      </c>
      <c r="N37" s="2101">
        <v>0.1</v>
      </c>
      <c r="O37" s="2825"/>
      <c r="P37" s="2102">
        <v>999397500</v>
      </c>
      <c r="Q37" s="2102">
        <v>1998795000</v>
      </c>
      <c r="R37" s="2102">
        <v>1599036000</v>
      </c>
      <c r="S37" s="2102">
        <v>365813006</v>
      </c>
      <c r="T37" s="2110">
        <f t="shared" si="10"/>
        <v>0.8</v>
      </c>
      <c r="U37" s="2111">
        <f t="shared" si="10"/>
        <v>0.22877096325536136</v>
      </c>
      <c r="V37" s="453" t="s">
        <v>1218</v>
      </c>
      <c r="W37" s="453">
        <v>45626</v>
      </c>
      <c r="X37" s="213" t="s">
        <v>4934</v>
      </c>
      <c r="Y37" s="2825"/>
    </row>
    <row r="38" spans="1:25">
      <c r="A38" s="2066"/>
      <c r="B38" s="2136">
        <v>5203</v>
      </c>
      <c r="C38" s="2136" t="s">
        <v>101</v>
      </c>
      <c r="D38" s="2068" t="s">
        <v>149</v>
      </c>
      <c r="E38" s="2069"/>
      <c r="F38" s="2069"/>
      <c r="G38" s="2069"/>
      <c r="H38" s="2069"/>
      <c r="I38" s="2069"/>
      <c r="J38" s="2069"/>
      <c r="K38" s="2069"/>
      <c r="L38" s="2070"/>
      <c r="M38" s="417"/>
      <c r="N38" s="2101"/>
      <c r="O38" s="1213"/>
      <c r="P38" s="2102"/>
      <c r="Q38" s="2102"/>
      <c r="R38" s="2102"/>
      <c r="S38" s="2102"/>
      <c r="T38" s="2101"/>
      <c r="U38" s="2101"/>
      <c r="V38" s="453"/>
      <c r="W38" s="453"/>
      <c r="X38" s="863"/>
      <c r="Y38" s="2126"/>
    </row>
    <row r="39" spans="1:25">
      <c r="A39" s="2066"/>
      <c r="B39" s="2118">
        <v>5203008</v>
      </c>
      <c r="C39" s="2118" t="s">
        <v>102</v>
      </c>
      <c r="D39" s="2082" t="s">
        <v>161</v>
      </c>
      <c r="E39" s="2069"/>
      <c r="F39" s="2069"/>
      <c r="G39" s="2069"/>
      <c r="H39" s="2069"/>
      <c r="I39" s="2069"/>
      <c r="J39" s="2069"/>
      <c r="K39" s="2069"/>
      <c r="L39" s="2070"/>
      <c r="M39" s="417"/>
      <c r="N39" s="2101"/>
      <c r="O39" s="2139"/>
      <c r="P39" s="2102"/>
      <c r="Q39" s="2102"/>
      <c r="R39" s="2102"/>
      <c r="S39" s="2102"/>
      <c r="T39" s="2101"/>
      <c r="U39" s="2101"/>
      <c r="V39" s="453"/>
      <c r="W39" s="453"/>
      <c r="X39" s="213"/>
      <c r="Y39" s="2126"/>
    </row>
    <row r="40" spans="1:25" ht="33">
      <c r="A40" s="2066"/>
      <c r="B40" s="2118">
        <v>52030080008</v>
      </c>
      <c r="C40" s="2118" t="s">
        <v>103</v>
      </c>
      <c r="D40" s="2082" t="s">
        <v>1224</v>
      </c>
      <c r="E40" s="2069"/>
      <c r="F40" s="2118">
        <v>17</v>
      </c>
      <c r="G40" s="2069"/>
      <c r="H40" s="2122">
        <f>SUM(H41:H68)</f>
        <v>0</v>
      </c>
      <c r="I40" s="2069"/>
      <c r="J40" s="2069"/>
      <c r="K40" s="2069"/>
      <c r="L40" s="2070"/>
      <c r="M40" s="417"/>
      <c r="N40" s="2101"/>
      <c r="O40" s="2139"/>
      <c r="P40" s="2102"/>
      <c r="Q40" s="2102"/>
      <c r="R40" s="2102"/>
      <c r="S40" s="2102"/>
      <c r="T40" s="2101"/>
      <c r="U40" s="2101"/>
      <c r="V40" s="453"/>
      <c r="W40" s="453"/>
      <c r="X40" s="213"/>
      <c r="Y40" s="2126"/>
    </row>
    <row r="41" spans="1:25">
      <c r="A41" s="3014">
        <v>4143</v>
      </c>
      <c r="B41" s="2069"/>
      <c r="C41" s="3021" t="s">
        <v>109</v>
      </c>
      <c r="D41" s="3022" t="s">
        <v>1225</v>
      </c>
      <c r="E41" s="2140" t="s">
        <v>4935</v>
      </c>
      <c r="F41" s="2097"/>
      <c r="G41" s="2097"/>
      <c r="H41" s="2097"/>
      <c r="I41" s="2098"/>
      <c r="J41" s="2098"/>
      <c r="K41" s="2098"/>
      <c r="L41" s="2100">
        <f>L42</f>
        <v>1</v>
      </c>
      <c r="M41" s="417"/>
      <c r="N41" s="2101">
        <f>SUM(N42)</f>
        <v>7.9000000000000001E-2</v>
      </c>
      <c r="O41" s="2826">
        <f>IF(Q41=0,"na",N41)</f>
        <v>7.9000000000000001E-2</v>
      </c>
      <c r="P41" s="2102">
        <f t="shared" ref="P41:S41" si="11">SUM(P42)</f>
        <v>4541478562</v>
      </c>
      <c r="Q41" s="2102">
        <f t="shared" si="11"/>
        <v>3767955058</v>
      </c>
      <c r="R41" s="2102">
        <f t="shared" si="11"/>
        <v>893172917</v>
      </c>
      <c r="S41" s="2102">
        <f t="shared" si="11"/>
        <v>115751540</v>
      </c>
      <c r="T41" s="2110">
        <f t="shared" ref="T41:U56" si="12">IF(Q41=0,0,R41/Q41)</f>
        <v>0.23704447193541872</v>
      </c>
      <c r="U41" s="2111">
        <f t="shared" si="12"/>
        <v>0.12959589100483215</v>
      </c>
      <c r="V41" s="453"/>
      <c r="W41" s="453"/>
      <c r="X41" s="213"/>
      <c r="Y41" s="3023" t="s">
        <v>1226</v>
      </c>
    </row>
    <row r="42" spans="1:25" ht="54">
      <c r="A42" s="2825"/>
      <c r="B42" s="2069"/>
      <c r="C42" s="2825"/>
      <c r="D42" s="2825"/>
      <c r="E42" s="2122" t="s">
        <v>1227</v>
      </c>
      <c r="F42" s="2097"/>
      <c r="G42" s="2141" t="s">
        <v>1228</v>
      </c>
      <c r="H42" s="2122">
        <f>M42</f>
        <v>0</v>
      </c>
      <c r="I42" s="2121" t="s">
        <v>1229</v>
      </c>
      <c r="J42" s="2142" t="s">
        <v>1230</v>
      </c>
      <c r="K42" s="2120">
        <v>13</v>
      </c>
      <c r="L42" s="2100">
        <v>1</v>
      </c>
      <c r="M42" s="417">
        <v>0</v>
      </c>
      <c r="N42" s="2101">
        <v>7.9000000000000001E-2</v>
      </c>
      <c r="O42" s="2825"/>
      <c r="P42" s="2102">
        <v>4541478562</v>
      </c>
      <c r="Q42" s="2102">
        <v>3767955058</v>
      </c>
      <c r="R42" s="2102">
        <v>893172917</v>
      </c>
      <c r="S42" s="2102">
        <v>115751540</v>
      </c>
      <c r="T42" s="2110">
        <f t="shared" si="12"/>
        <v>0.23704447193541872</v>
      </c>
      <c r="U42" s="2111">
        <f t="shared" si="12"/>
        <v>0.12959589100483215</v>
      </c>
      <c r="V42" s="453">
        <v>45323</v>
      </c>
      <c r="W42" s="2124">
        <v>45657</v>
      </c>
      <c r="X42" s="1214" t="s">
        <v>4936</v>
      </c>
      <c r="Y42" s="2825"/>
    </row>
    <row r="43" spans="1:25">
      <c r="A43" s="3014">
        <v>4143</v>
      </c>
      <c r="B43" s="2069"/>
      <c r="C43" s="3021" t="s">
        <v>109</v>
      </c>
      <c r="D43" s="3022" t="s">
        <v>1231</v>
      </c>
      <c r="E43" s="2122" t="s">
        <v>4937</v>
      </c>
      <c r="F43" s="2097"/>
      <c r="G43" s="2097"/>
      <c r="H43" s="2097"/>
      <c r="I43" s="2098"/>
      <c r="J43" s="2098"/>
      <c r="K43" s="2098"/>
      <c r="L43" s="2100">
        <f>L44</f>
        <v>1</v>
      </c>
      <c r="M43" s="417"/>
      <c r="N43" s="2101">
        <f>SUM(N44)</f>
        <v>0</v>
      </c>
      <c r="O43" s="2826">
        <f>IF(Q43=0,"na",N43)</f>
        <v>0</v>
      </c>
      <c r="P43" s="2102">
        <f t="shared" ref="P43:S43" si="13">SUM(P44)</f>
        <v>621795051</v>
      </c>
      <c r="Q43" s="2102">
        <f t="shared" si="13"/>
        <v>621795051</v>
      </c>
      <c r="R43" s="2102">
        <f t="shared" si="13"/>
        <v>0</v>
      </c>
      <c r="S43" s="2102">
        <f t="shared" si="13"/>
        <v>0</v>
      </c>
      <c r="T43" s="2110">
        <f t="shared" si="12"/>
        <v>0</v>
      </c>
      <c r="U43" s="2111">
        <f t="shared" si="12"/>
        <v>0</v>
      </c>
      <c r="V43" s="453"/>
      <c r="W43" s="2124"/>
      <c r="X43" s="2132"/>
      <c r="Y43" s="3023" t="s">
        <v>1226</v>
      </c>
    </row>
    <row r="44" spans="1:25" ht="27">
      <c r="A44" s="2825"/>
      <c r="B44" s="2069"/>
      <c r="C44" s="2825"/>
      <c r="D44" s="2825"/>
      <c r="E44" s="2140" t="s">
        <v>1232</v>
      </c>
      <c r="F44" s="2097"/>
      <c r="G44" s="2121" t="s">
        <v>1233</v>
      </c>
      <c r="H44" s="2122">
        <f>M44</f>
        <v>0</v>
      </c>
      <c r="I44" s="2121" t="s">
        <v>1234</v>
      </c>
      <c r="J44" s="2121" t="s">
        <v>1235</v>
      </c>
      <c r="K44" s="2120">
        <v>1</v>
      </c>
      <c r="L44" s="2100">
        <v>1</v>
      </c>
      <c r="M44" s="417">
        <v>0</v>
      </c>
      <c r="N44" s="2101">
        <v>0</v>
      </c>
      <c r="O44" s="2825"/>
      <c r="P44" s="2102">
        <v>621795051</v>
      </c>
      <c r="Q44" s="2102">
        <v>621795051</v>
      </c>
      <c r="R44" s="2102">
        <v>0</v>
      </c>
      <c r="S44" s="2102">
        <v>0</v>
      </c>
      <c r="T44" s="2110">
        <f t="shared" si="12"/>
        <v>0</v>
      </c>
      <c r="U44" s="2111">
        <f t="shared" si="12"/>
        <v>0</v>
      </c>
      <c r="V44" s="2124"/>
      <c r="W44" s="2124"/>
      <c r="X44"/>
      <c r="Y44" s="2825"/>
    </row>
    <row r="45" spans="1:25">
      <c r="A45" s="3014">
        <v>4143</v>
      </c>
      <c r="B45" s="2069"/>
      <c r="C45" s="3021" t="s">
        <v>109</v>
      </c>
      <c r="D45" s="3022" t="s">
        <v>1236</v>
      </c>
      <c r="E45" s="2140" t="s">
        <v>4938</v>
      </c>
      <c r="F45" s="2097"/>
      <c r="G45" s="2097"/>
      <c r="H45" s="2097"/>
      <c r="I45" s="2098"/>
      <c r="J45" s="2098"/>
      <c r="K45" s="2098"/>
      <c r="L45" s="2100">
        <f>L46</f>
        <v>1</v>
      </c>
      <c r="M45" s="417"/>
      <c r="N45" s="2101">
        <f>SUM(N46)</f>
        <v>0</v>
      </c>
      <c r="O45" s="2826">
        <f>IF(Q45=0,"na",N45)</f>
        <v>0</v>
      </c>
      <c r="P45" s="2102">
        <f t="shared" ref="P45:S45" si="14">SUM(P46)</f>
        <v>632417948</v>
      </c>
      <c r="Q45" s="2102">
        <f t="shared" si="14"/>
        <v>632417948</v>
      </c>
      <c r="R45" s="2102">
        <f t="shared" si="14"/>
        <v>0</v>
      </c>
      <c r="S45" s="2102">
        <f t="shared" si="14"/>
        <v>0</v>
      </c>
      <c r="T45" s="2110">
        <f t="shared" si="12"/>
        <v>0</v>
      </c>
      <c r="U45" s="2111">
        <f t="shared" si="12"/>
        <v>0</v>
      </c>
      <c r="V45" s="453"/>
      <c r="W45" s="2124"/>
      <c r="X45" s="2143"/>
      <c r="Y45" s="3023" t="s">
        <v>1226</v>
      </c>
    </row>
    <row r="46" spans="1:25" ht="40.5">
      <c r="A46" s="2825"/>
      <c r="B46" s="2069"/>
      <c r="C46" s="2825"/>
      <c r="D46" s="2825"/>
      <c r="E46" s="2144" t="s">
        <v>1237</v>
      </c>
      <c r="F46" s="2097"/>
      <c r="G46" s="2121" t="s">
        <v>1233</v>
      </c>
      <c r="H46" s="2122">
        <f>M46</f>
        <v>0</v>
      </c>
      <c r="I46" s="2121" t="s">
        <v>1238</v>
      </c>
      <c r="J46" s="2121" t="s">
        <v>1235</v>
      </c>
      <c r="K46" s="2120">
        <v>2</v>
      </c>
      <c r="L46" s="2100">
        <v>1</v>
      </c>
      <c r="M46" s="417">
        <v>0</v>
      </c>
      <c r="N46" s="2101">
        <v>0</v>
      </c>
      <c r="O46" s="2825"/>
      <c r="P46" s="2102">
        <v>632417948</v>
      </c>
      <c r="Q46" s="2102">
        <v>632417948</v>
      </c>
      <c r="R46" s="2102">
        <v>0</v>
      </c>
      <c r="S46" s="2102">
        <v>0</v>
      </c>
      <c r="T46" s="2110">
        <f t="shared" si="12"/>
        <v>0</v>
      </c>
      <c r="U46" s="2111">
        <f t="shared" si="12"/>
        <v>0</v>
      </c>
      <c r="V46" s="2124"/>
      <c r="W46" s="2124"/>
      <c r="X46" s="2145"/>
      <c r="Y46" s="2825"/>
    </row>
    <row r="47" spans="1:25">
      <c r="A47" s="3014">
        <v>4143</v>
      </c>
      <c r="B47" s="2069"/>
      <c r="C47" s="3021" t="s">
        <v>109</v>
      </c>
      <c r="D47" s="3022" t="s">
        <v>1239</v>
      </c>
      <c r="E47" s="2140" t="s">
        <v>4939</v>
      </c>
      <c r="F47" s="2097"/>
      <c r="G47" s="2097"/>
      <c r="H47" s="2097"/>
      <c r="I47" s="2098"/>
      <c r="J47" s="2098"/>
      <c r="K47" s="2098"/>
      <c r="L47" s="2100">
        <f>L48</f>
        <v>1</v>
      </c>
      <c r="M47" s="417"/>
      <c r="N47" s="2101">
        <f>SUM(N48)</f>
        <v>0</v>
      </c>
      <c r="O47" s="2826">
        <f>IF(Q47=0,"na",N47)</f>
        <v>0</v>
      </c>
      <c r="P47" s="2102">
        <f t="shared" ref="P47:S47" si="15">SUM(P48)</f>
        <v>613773025</v>
      </c>
      <c r="Q47" s="2102">
        <f t="shared" si="15"/>
        <v>613773025</v>
      </c>
      <c r="R47" s="2102">
        <f t="shared" si="15"/>
        <v>0</v>
      </c>
      <c r="S47" s="2102">
        <f t="shared" si="15"/>
        <v>0</v>
      </c>
      <c r="T47" s="2110">
        <f t="shared" si="12"/>
        <v>0</v>
      </c>
      <c r="U47" s="2111">
        <f t="shared" si="12"/>
        <v>0</v>
      </c>
      <c r="V47" s="2124"/>
      <c r="W47" s="2124"/>
      <c r="X47" s="2145"/>
      <c r="Y47" s="3023" t="s">
        <v>1226</v>
      </c>
    </row>
    <row r="48" spans="1:25" ht="67.5">
      <c r="A48" s="2825"/>
      <c r="B48" s="2069"/>
      <c r="C48" s="2825"/>
      <c r="D48" s="2825"/>
      <c r="E48" s="2144" t="s">
        <v>1240</v>
      </c>
      <c r="F48" s="2097"/>
      <c r="G48" s="2121" t="s">
        <v>1233</v>
      </c>
      <c r="H48" s="2122">
        <f>M48</f>
        <v>0</v>
      </c>
      <c r="I48" s="2121" t="s">
        <v>1241</v>
      </c>
      <c r="J48" s="2121" t="s">
        <v>1235</v>
      </c>
      <c r="K48" s="2120">
        <v>4</v>
      </c>
      <c r="L48" s="2100">
        <v>1</v>
      </c>
      <c r="M48" s="417">
        <v>0</v>
      </c>
      <c r="N48" s="2101">
        <v>0</v>
      </c>
      <c r="O48" s="2825"/>
      <c r="P48" s="2102">
        <v>613773025</v>
      </c>
      <c r="Q48" s="2102">
        <v>613773025</v>
      </c>
      <c r="R48" s="2102">
        <v>0</v>
      </c>
      <c r="S48" s="2102">
        <v>0</v>
      </c>
      <c r="T48" s="2110">
        <f t="shared" si="12"/>
        <v>0</v>
      </c>
      <c r="U48" s="2111">
        <f t="shared" si="12"/>
        <v>0</v>
      </c>
      <c r="V48" s="2124"/>
      <c r="W48" s="2124"/>
      <c r="X48" s="2132"/>
      <c r="Y48" s="2825"/>
    </row>
    <row r="49" spans="1:25">
      <c r="A49" s="3014">
        <v>4143</v>
      </c>
      <c r="B49" s="2069"/>
      <c r="C49" s="3021" t="s">
        <v>109</v>
      </c>
      <c r="D49" s="3022" t="s">
        <v>1242</v>
      </c>
      <c r="E49" s="2146" t="s">
        <v>4940</v>
      </c>
      <c r="F49" s="2097"/>
      <c r="G49" s="2097"/>
      <c r="H49" s="2097"/>
      <c r="I49" s="2098"/>
      <c r="J49" s="2098"/>
      <c r="K49" s="2098"/>
      <c r="L49" s="2100">
        <f>L50</f>
        <v>1</v>
      </c>
      <c r="M49" s="417"/>
      <c r="N49" s="2101">
        <f>SUM(N50)</f>
        <v>0</v>
      </c>
      <c r="O49" s="2826">
        <f>IF(Q49=0,"na",N49)</f>
        <v>0</v>
      </c>
      <c r="P49" s="2102">
        <f t="shared" ref="P49:S49" si="16">SUM(P50)</f>
        <v>254871476</v>
      </c>
      <c r="Q49" s="2102">
        <f t="shared" si="16"/>
        <v>254871476</v>
      </c>
      <c r="R49" s="2102">
        <f t="shared" si="16"/>
        <v>0</v>
      </c>
      <c r="S49" s="2102">
        <f t="shared" si="16"/>
        <v>0</v>
      </c>
      <c r="T49" s="2110">
        <f t="shared" si="12"/>
        <v>0</v>
      </c>
      <c r="U49" s="2111">
        <f t="shared" si="12"/>
        <v>0</v>
      </c>
      <c r="V49" s="2124"/>
      <c r="W49" s="2124"/>
      <c r="X49" s="2132"/>
      <c r="Y49" s="3023" t="s">
        <v>1226</v>
      </c>
    </row>
    <row r="50" spans="1:25" ht="40.5">
      <c r="A50" s="2825"/>
      <c r="B50" s="2069"/>
      <c r="C50" s="2825"/>
      <c r="D50" s="2825"/>
      <c r="E50" s="2122" t="s">
        <v>1243</v>
      </c>
      <c r="F50" s="2097"/>
      <c r="G50" s="2121" t="s">
        <v>1233</v>
      </c>
      <c r="H50" s="2122">
        <f>M50</f>
        <v>0</v>
      </c>
      <c r="I50" s="2121" t="s">
        <v>1244</v>
      </c>
      <c r="J50" s="2121" t="s">
        <v>1235</v>
      </c>
      <c r="K50" s="2120">
        <v>2</v>
      </c>
      <c r="L50" s="2100">
        <v>1</v>
      </c>
      <c r="M50" s="417">
        <v>0</v>
      </c>
      <c r="N50" s="2101">
        <v>0</v>
      </c>
      <c r="O50" s="2825"/>
      <c r="P50" s="2102">
        <v>254871476</v>
      </c>
      <c r="Q50" s="2102">
        <v>254871476</v>
      </c>
      <c r="R50" s="2102">
        <v>0</v>
      </c>
      <c r="S50" s="2102">
        <v>0</v>
      </c>
      <c r="T50" s="2110">
        <f t="shared" si="12"/>
        <v>0</v>
      </c>
      <c r="U50" s="2111">
        <f t="shared" si="12"/>
        <v>0</v>
      </c>
      <c r="V50" s="453"/>
      <c r="W50" s="453"/>
      <c r="X50" s="213"/>
      <c r="Y50" s="2825"/>
    </row>
    <row r="51" spans="1:25">
      <c r="A51" s="3014">
        <v>4143</v>
      </c>
      <c r="B51" s="2069"/>
      <c r="C51" s="3021" t="s">
        <v>109</v>
      </c>
      <c r="D51" s="3022" t="s">
        <v>1245</v>
      </c>
      <c r="E51" s="2144" t="s">
        <v>1246</v>
      </c>
      <c r="F51" s="2097"/>
      <c r="G51" s="2097"/>
      <c r="H51" s="2097"/>
      <c r="I51" s="2098"/>
      <c r="J51" s="2098"/>
      <c r="K51" s="2098"/>
      <c r="L51" s="2100">
        <f>L52</f>
        <v>1</v>
      </c>
      <c r="M51" s="417"/>
      <c r="N51" s="2101">
        <f>SUM(N52)</f>
        <v>0</v>
      </c>
      <c r="O51" s="2826">
        <f>IF(Q51=0,"na",N51)</f>
        <v>0</v>
      </c>
      <c r="P51" s="2102">
        <f t="shared" ref="P51:S51" si="17">SUM(P52)</f>
        <v>639540885</v>
      </c>
      <c r="Q51" s="2102">
        <f t="shared" si="17"/>
        <v>639540885</v>
      </c>
      <c r="R51" s="2102">
        <f t="shared" si="17"/>
        <v>0</v>
      </c>
      <c r="S51" s="2102">
        <f t="shared" si="17"/>
        <v>0</v>
      </c>
      <c r="T51" s="2110">
        <f t="shared" si="12"/>
        <v>0</v>
      </c>
      <c r="U51" s="2111">
        <f t="shared" si="12"/>
        <v>0</v>
      </c>
      <c r="V51" s="453"/>
      <c r="W51" s="453"/>
      <c r="X51" s="213"/>
      <c r="Y51" s="3023" t="s">
        <v>1226</v>
      </c>
    </row>
    <row r="52" spans="1:25" ht="54">
      <c r="A52" s="2825"/>
      <c r="B52" s="2069"/>
      <c r="C52" s="2825"/>
      <c r="D52" s="2825"/>
      <c r="E52" s="2144" t="s">
        <v>1247</v>
      </c>
      <c r="F52" s="2097"/>
      <c r="G52" s="2121" t="s">
        <v>1233</v>
      </c>
      <c r="H52" s="2122">
        <f>M52</f>
        <v>0</v>
      </c>
      <c r="I52" s="2121" t="s">
        <v>1248</v>
      </c>
      <c r="J52" s="2121" t="s">
        <v>1235</v>
      </c>
      <c r="K52" s="2120">
        <v>3</v>
      </c>
      <c r="L52" s="2100">
        <v>1</v>
      </c>
      <c r="M52" s="417">
        <v>0</v>
      </c>
      <c r="N52" s="2101">
        <v>0</v>
      </c>
      <c r="O52" s="2825"/>
      <c r="P52" s="2102">
        <v>639540885</v>
      </c>
      <c r="Q52" s="2102">
        <v>639540885</v>
      </c>
      <c r="R52" s="2102">
        <v>0</v>
      </c>
      <c r="S52" s="2102">
        <v>0</v>
      </c>
      <c r="T52" s="2110">
        <f t="shared" si="12"/>
        <v>0</v>
      </c>
      <c r="U52" s="2111">
        <f t="shared" si="12"/>
        <v>0</v>
      </c>
      <c r="V52" s="453"/>
      <c r="W52" s="453"/>
      <c r="X52" s="2147"/>
      <c r="Y52" s="2825"/>
    </row>
    <row r="53" spans="1:25">
      <c r="A53" s="3014">
        <v>4143</v>
      </c>
      <c r="B53" s="2069"/>
      <c r="C53" s="3021" t="s">
        <v>109</v>
      </c>
      <c r="D53" s="3015" t="s">
        <v>1249</v>
      </c>
      <c r="E53" s="2122" t="s">
        <v>4941</v>
      </c>
      <c r="F53" s="2097"/>
      <c r="G53" s="2097"/>
      <c r="H53" s="2097"/>
      <c r="I53" s="2098"/>
      <c r="J53" s="2098"/>
      <c r="K53" s="2098"/>
      <c r="L53" s="2100">
        <f>L54</f>
        <v>1</v>
      </c>
      <c r="M53" s="417"/>
      <c r="N53" s="2101">
        <f>SUM(N54)</f>
        <v>0</v>
      </c>
      <c r="O53" s="2826">
        <f>IF(Q53=0,"na",N53)</f>
        <v>0</v>
      </c>
      <c r="P53" s="2102">
        <f t="shared" ref="P53:S53" si="18">SUM(P54)</f>
        <v>217709700</v>
      </c>
      <c r="Q53" s="2102">
        <f t="shared" si="18"/>
        <v>217709700</v>
      </c>
      <c r="R53" s="2102">
        <f t="shared" si="18"/>
        <v>0</v>
      </c>
      <c r="S53" s="2102">
        <f t="shared" si="18"/>
        <v>0</v>
      </c>
      <c r="T53" s="2110">
        <f t="shared" si="12"/>
        <v>0</v>
      </c>
      <c r="U53" s="2111">
        <f t="shared" si="12"/>
        <v>0</v>
      </c>
      <c r="V53" s="453"/>
      <c r="W53" s="453"/>
      <c r="X53" s="2147"/>
      <c r="Y53" s="3023" t="s">
        <v>1226</v>
      </c>
    </row>
    <row r="54" spans="1:25" ht="40.5">
      <c r="A54" s="2825"/>
      <c r="B54" s="2069"/>
      <c r="C54" s="2825"/>
      <c r="D54" s="2825"/>
      <c r="E54" s="2122" t="s">
        <v>1250</v>
      </c>
      <c r="F54" s="2097"/>
      <c r="G54" s="2121" t="s">
        <v>1233</v>
      </c>
      <c r="H54" s="2122">
        <f>M54</f>
        <v>0</v>
      </c>
      <c r="I54" s="2121" t="s">
        <v>1251</v>
      </c>
      <c r="J54" s="2121" t="s">
        <v>1235</v>
      </c>
      <c r="K54" s="2120">
        <v>1</v>
      </c>
      <c r="L54" s="2100">
        <v>1</v>
      </c>
      <c r="M54" s="417">
        <v>0</v>
      </c>
      <c r="N54" s="2101">
        <v>0</v>
      </c>
      <c r="O54" s="2825"/>
      <c r="P54" s="2102">
        <v>217709700</v>
      </c>
      <c r="Q54" s="2102">
        <v>217709700</v>
      </c>
      <c r="R54" s="2102">
        <v>0</v>
      </c>
      <c r="S54" s="2102">
        <v>0</v>
      </c>
      <c r="T54" s="2110">
        <f t="shared" si="12"/>
        <v>0</v>
      </c>
      <c r="U54" s="2111">
        <f t="shared" si="12"/>
        <v>0</v>
      </c>
      <c r="V54" s="453"/>
      <c r="W54" s="453"/>
      <c r="X54" s="213"/>
      <c r="Y54" s="2825"/>
    </row>
    <row r="55" spans="1:25">
      <c r="A55" s="3014">
        <v>4143</v>
      </c>
      <c r="B55" s="2069"/>
      <c r="C55" s="3021" t="s">
        <v>109</v>
      </c>
      <c r="D55" s="3022" t="s">
        <v>1252</v>
      </c>
      <c r="E55" s="2144" t="s">
        <v>1253</v>
      </c>
      <c r="F55" s="2097"/>
      <c r="G55" s="2097"/>
      <c r="H55" s="2097"/>
      <c r="I55" s="2098"/>
      <c r="J55" s="2098"/>
      <c r="K55" s="2098"/>
      <c r="L55" s="2100">
        <f>L56</f>
        <v>1</v>
      </c>
      <c r="M55" s="417"/>
      <c r="N55" s="2101">
        <f>SUM(N56)</f>
        <v>0</v>
      </c>
      <c r="O55" s="2826">
        <f>IF(Q55=0,"na",N55)</f>
        <v>0</v>
      </c>
      <c r="P55" s="2102">
        <f t="shared" ref="P55:S55" si="19">SUM(P56)</f>
        <v>295883965</v>
      </c>
      <c r="Q55" s="2102">
        <f t="shared" si="19"/>
        <v>295883965</v>
      </c>
      <c r="R55" s="2102">
        <f t="shared" si="19"/>
        <v>0</v>
      </c>
      <c r="S55" s="2102">
        <f t="shared" si="19"/>
        <v>0</v>
      </c>
      <c r="T55" s="2110">
        <f t="shared" si="12"/>
        <v>0</v>
      </c>
      <c r="U55" s="2111">
        <f t="shared" si="12"/>
        <v>0</v>
      </c>
      <c r="V55" s="453"/>
      <c r="W55" s="453"/>
      <c r="X55" s="213"/>
      <c r="Y55" s="3023" t="s">
        <v>1226</v>
      </c>
    </row>
    <row r="56" spans="1:25" ht="40.5">
      <c r="A56" s="2825"/>
      <c r="B56" s="2069"/>
      <c r="C56" s="2825"/>
      <c r="D56" s="2825"/>
      <c r="E56" s="2122" t="s">
        <v>1254</v>
      </c>
      <c r="F56" s="2097"/>
      <c r="G56" s="2121" t="s">
        <v>1233</v>
      </c>
      <c r="H56" s="2122">
        <f>M56</f>
        <v>0</v>
      </c>
      <c r="I56" s="2141" t="s">
        <v>1255</v>
      </c>
      <c r="J56" s="2121" t="s">
        <v>1235</v>
      </c>
      <c r="K56" s="2120">
        <v>2</v>
      </c>
      <c r="L56" s="2100">
        <v>1</v>
      </c>
      <c r="M56" s="417">
        <v>0</v>
      </c>
      <c r="N56" s="2101">
        <v>0</v>
      </c>
      <c r="O56" s="2825"/>
      <c r="P56" s="2102">
        <v>295883965</v>
      </c>
      <c r="Q56" s="2102">
        <v>295883965</v>
      </c>
      <c r="R56" s="2102">
        <v>0</v>
      </c>
      <c r="S56" s="2102">
        <v>0</v>
      </c>
      <c r="T56" s="2110">
        <f t="shared" si="12"/>
        <v>0</v>
      </c>
      <c r="U56" s="2111">
        <f t="shared" si="12"/>
        <v>0</v>
      </c>
      <c r="V56" s="453"/>
      <c r="W56" s="453"/>
      <c r="X56" s="2148"/>
      <c r="Y56" s="2825"/>
    </row>
    <row r="57" spans="1:25">
      <c r="A57" s="3014">
        <v>4143</v>
      </c>
      <c r="B57" s="2069"/>
      <c r="C57" s="3021" t="s">
        <v>109</v>
      </c>
      <c r="D57" s="3015" t="s">
        <v>1256</v>
      </c>
      <c r="E57" s="2144" t="s">
        <v>1257</v>
      </c>
      <c r="F57" s="2149"/>
      <c r="G57" s="2097"/>
      <c r="H57" s="2097"/>
      <c r="I57" s="2098"/>
      <c r="J57" s="2098"/>
      <c r="K57" s="2098"/>
      <c r="L57" s="2100">
        <f>L58</f>
        <v>1</v>
      </c>
      <c r="M57" s="417"/>
      <c r="N57" s="2101">
        <f>SUM(N58)</f>
        <v>0</v>
      </c>
      <c r="O57" s="2826">
        <f>IF(Q57=0,"na",N57)</f>
        <v>0</v>
      </c>
      <c r="P57" s="2102">
        <f t="shared" ref="P57:S57" si="20">SUM(P58)</f>
        <v>225000000</v>
      </c>
      <c r="Q57" s="2102">
        <f t="shared" si="20"/>
        <v>225000000</v>
      </c>
      <c r="R57" s="2102">
        <f t="shared" si="20"/>
        <v>0</v>
      </c>
      <c r="S57" s="2102">
        <f t="shared" si="20"/>
        <v>0</v>
      </c>
      <c r="T57" s="2110">
        <f t="shared" ref="T57:U68" si="21">IF(Q57=0,0,R57/Q57)</f>
        <v>0</v>
      </c>
      <c r="U57" s="2111">
        <f t="shared" si="21"/>
        <v>0</v>
      </c>
      <c r="V57" s="453"/>
      <c r="W57" s="453"/>
      <c r="X57" s="2150"/>
      <c r="Y57" s="3023" t="s">
        <v>1226</v>
      </c>
    </row>
    <row r="58" spans="1:25" ht="40.5">
      <c r="A58" s="2825"/>
      <c r="B58" s="2069"/>
      <c r="C58" s="2825"/>
      <c r="D58" s="2825"/>
      <c r="E58" s="2122" t="s">
        <v>1258</v>
      </c>
      <c r="F58" s="2097"/>
      <c r="G58" s="2121" t="s">
        <v>1233</v>
      </c>
      <c r="H58" s="2122">
        <f>M58</f>
        <v>0</v>
      </c>
      <c r="I58" s="2121" t="s">
        <v>1259</v>
      </c>
      <c r="J58" s="2121" t="s">
        <v>1235</v>
      </c>
      <c r="K58" s="2120">
        <v>1</v>
      </c>
      <c r="L58" s="2100">
        <v>1</v>
      </c>
      <c r="M58" s="417">
        <v>0</v>
      </c>
      <c r="N58" s="2101">
        <v>0</v>
      </c>
      <c r="O58" s="2825"/>
      <c r="P58" s="2102">
        <v>225000000</v>
      </c>
      <c r="Q58" s="2102">
        <v>225000000</v>
      </c>
      <c r="R58" s="2102">
        <v>0</v>
      </c>
      <c r="S58" s="2102">
        <v>0</v>
      </c>
      <c r="T58" s="2110">
        <f t="shared" si="21"/>
        <v>0</v>
      </c>
      <c r="U58" s="2111">
        <f t="shared" si="21"/>
        <v>0</v>
      </c>
      <c r="V58" s="453"/>
      <c r="W58" s="453"/>
      <c r="X58" s="213"/>
      <c r="Y58" s="2825"/>
    </row>
    <row r="59" spans="1:25">
      <c r="A59" s="3014">
        <v>4143</v>
      </c>
      <c r="B59" s="2069"/>
      <c r="C59" s="3021" t="s">
        <v>109</v>
      </c>
      <c r="D59" s="3015" t="s">
        <v>1260</v>
      </c>
      <c r="E59" s="2144" t="s">
        <v>1261</v>
      </c>
      <c r="F59" s="2097"/>
      <c r="G59" s="2097"/>
      <c r="H59" s="2097"/>
      <c r="I59" s="2098"/>
      <c r="J59" s="2098"/>
      <c r="K59" s="2098"/>
      <c r="L59" s="2100">
        <f>L60</f>
        <v>1</v>
      </c>
      <c r="M59" s="417"/>
      <c r="N59" s="2101">
        <f>SUM(N60)</f>
        <v>0</v>
      </c>
      <c r="O59" s="2826">
        <f>IF(Q59=0,"na",N59)</f>
        <v>0</v>
      </c>
      <c r="P59" s="2102">
        <f t="shared" ref="P59:S59" si="22">SUM(P60)</f>
        <v>725005658</v>
      </c>
      <c r="Q59" s="2102">
        <f t="shared" si="22"/>
        <v>725005658</v>
      </c>
      <c r="R59" s="2102">
        <f t="shared" si="22"/>
        <v>0</v>
      </c>
      <c r="S59" s="2102">
        <f t="shared" si="22"/>
        <v>0</v>
      </c>
      <c r="T59" s="2110">
        <f t="shared" si="21"/>
        <v>0</v>
      </c>
      <c r="U59" s="2111">
        <f t="shared" si="21"/>
        <v>0</v>
      </c>
      <c r="V59" s="453"/>
      <c r="W59" s="453"/>
      <c r="X59" s="213"/>
      <c r="Y59" s="3023" t="s">
        <v>1226</v>
      </c>
    </row>
    <row r="60" spans="1:25" ht="40.5">
      <c r="A60" s="2825"/>
      <c r="B60" s="2069"/>
      <c r="C60" s="2825"/>
      <c r="D60" s="2825"/>
      <c r="E60" s="2122" t="s">
        <v>1262</v>
      </c>
      <c r="F60" s="2097"/>
      <c r="G60" s="2121" t="s">
        <v>1233</v>
      </c>
      <c r="H60" s="2122">
        <f>M60</f>
        <v>0</v>
      </c>
      <c r="I60" s="2121" t="s">
        <v>1263</v>
      </c>
      <c r="J60" s="2121" t="s">
        <v>1235</v>
      </c>
      <c r="K60" s="2120">
        <v>2</v>
      </c>
      <c r="L60" s="2100">
        <v>1</v>
      </c>
      <c r="M60" s="417">
        <v>0</v>
      </c>
      <c r="N60" s="2101">
        <v>0</v>
      </c>
      <c r="O60" s="2825"/>
      <c r="P60" s="2102">
        <v>725005658</v>
      </c>
      <c r="Q60" s="2102">
        <v>725005658</v>
      </c>
      <c r="R60" s="2102">
        <v>0</v>
      </c>
      <c r="S60" s="2102">
        <v>0</v>
      </c>
      <c r="T60" s="2110">
        <f t="shared" si="21"/>
        <v>0</v>
      </c>
      <c r="U60" s="2111">
        <f t="shared" si="21"/>
        <v>0</v>
      </c>
      <c r="V60" s="453"/>
      <c r="W60" s="453"/>
      <c r="X60" s="213"/>
      <c r="Y60" s="2825"/>
    </row>
    <row r="61" spans="1:25">
      <c r="A61" s="3014">
        <v>4143</v>
      </c>
      <c r="B61" s="2069"/>
      <c r="C61" s="3021" t="s">
        <v>109</v>
      </c>
      <c r="D61" s="3022" t="s">
        <v>1264</v>
      </c>
      <c r="E61" s="2146" t="s">
        <v>1265</v>
      </c>
      <c r="F61" s="2097"/>
      <c r="G61" s="2097"/>
      <c r="H61" s="2097"/>
      <c r="I61" s="2098"/>
      <c r="J61" s="2098"/>
      <c r="K61" s="2098"/>
      <c r="L61" s="2100">
        <f>L62</f>
        <v>1</v>
      </c>
      <c r="M61" s="417"/>
      <c r="N61" s="2101">
        <f>SUM(N62)</f>
        <v>0</v>
      </c>
      <c r="O61" s="2826">
        <f>IF(Q61=0,"na",N61)</f>
        <v>0</v>
      </c>
      <c r="P61" s="2102">
        <f t="shared" ref="P61:S61" si="23">SUM(P62)</f>
        <v>1278649201</v>
      </c>
      <c r="Q61" s="2102">
        <f t="shared" si="23"/>
        <v>1278649201</v>
      </c>
      <c r="R61" s="2102">
        <f t="shared" si="23"/>
        <v>0</v>
      </c>
      <c r="S61" s="2102">
        <f t="shared" si="23"/>
        <v>0</v>
      </c>
      <c r="T61" s="2110">
        <f t="shared" si="21"/>
        <v>0</v>
      </c>
      <c r="U61" s="2111">
        <f t="shared" si="21"/>
        <v>0</v>
      </c>
      <c r="V61" s="453"/>
      <c r="W61" s="453"/>
      <c r="X61" s="213"/>
      <c r="Y61" s="3023" t="s">
        <v>1226</v>
      </c>
    </row>
    <row r="62" spans="1:25" ht="67.5">
      <c r="A62" s="2825"/>
      <c r="B62" s="2069"/>
      <c r="C62" s="2825"/>
      <c r="D62" s="2825"/>
      <c r="E62" s="2122" t="s">
        <v>1266</v>
      </c>
      <c r="F62" s="2097"/>
      <c r="G62" s="2121" t="s">
        <v>1233</v>
      </c>
      <c r="H62" s="2122">
        <f>M62</f>
        <v>0</v>
      </c>
      <c r="I62" s="2121" t="s">
        <v>1267</v>
      </c>
      <c r="J62" s="2121" t="s">
        <v>1235</v>
      </c>
      <c r="K62" s="2120">
        <v>4</v>
      </c>
      <c r="L62" s="2100">
        <v>1</v>
      </c>
      <c r="M62" s="417">
        <v>0</v>
      </c>
      <c r="N62" s="2101">
        <v>0</v>
      </c>
      <c r="O62" s="2825"/>
      <c r="P62" s="2102">
        <v>1278649201</v>
      </c>
      <c r="Q62" s="2102">
        <v>1278649201</v>
      </c>
      <c r="R62" s="2102">
        <v>0</v>
      </c>
      <c r="S62" s="2102">
        <v>0</v>
      </c>
      <c r="T62" s="2110">
        <f t="shared" si="21"/>
        <v>0</v>
      </c>
      <c r="U62" s="2111">
        <f t="shared" si="21"/>
        <v>0</v>
      </c>
      <c r="V62" s="453"/>
      <c r="W62" s="453"/>
      <c r="X62" s="213"/>
      <c r="Y62" s="2825"/>
    </row>
    <row r="63" spans="1:25">
      <c r="A63" s="3014">
        <v>4143</v>
      </c>
      <c r="B63" s="2069"/>
      <c r="C63" s="3021" t="s">
        <v>109</v>
      </c>
      <c r="D63" s="3015" t="s">
        <v>1268</v>
      </c>
      <c r="E63" s="2122" t="s">
        <v>4942</v>
      </c>
      <c r="F63" s="2097"/>
      <c r="G63" s="2097"/>
      <c r="H63" s="2097"/>
      <c r="I63" s="2098"/>
      <c r="J63" s="2098"/>
      <c r="K63" s="2098"/>
      <c r="L63" s="2100">
        <f>L64</f>
        <v>1</v>
      </c>
      <c r="M63" s="417"/>
      <c r="N63" s="2101">
        <f>SUM(N64)</f>
        <v>0</v>
      </c>
      <c r="O63" s="2826">
        <f>IF(Q63=0,"na",N63)</f>
        <v>0</v>
      </c>
      <c r="P63" s="2102">
        <f t="shared" ref="P63:S63" si="24">SUM(P64)</f>
        <v>1016819180</v>
      </c>
      <c r="Q63" s="2102">
        <f t="shared" si="24"/>
        <v>1016819180</v>
      </c>
      <c r="R63" s="2102">
        <f t="shared" si="24"/>
        <v>0</v>
      </c>
      <c r="S63" s="2102">
        <f t="shared" si="24"/>
        <v>0</v>
      </c>
      <c r="T63" s="2110">
        <f t="shared" si="21"/>
        <v>0</v>
      </c>
      <c r="U63" s="2111">
        <f t="shared" si="21"/>
        <v>0</v>
      </c>
      <c r="V63" s="453"/>
      <c r="W63" s="453"/>
      <c r="X63" s="2147"/>
      <c r="Y63" s="3023" t="s">
        <v>1226</v>
      </c>
    </row>
    <row r="64" spans="1:25" ht="40.5">
      <c r="A64" s="2825"/>
      <c r="B64" s="2069"/>
      <c r="C64" s="2825"/>
      <c r="D64" s="2825"/>
      <c r="E64" s="2122" t="s">
        <v>1269</v>
      </c>
      <c r="F64" s="2097"/>
      <c r="G64" s="2121" t="s">
        <v>1233</v>
      </c>
      <c r="H64" s="2122">
        <f>M64</f>
        <v>0</v>
      </c>
      <c r="I64" s="2121" t="s">
        <v>1270</v>
      </c>
      <c r="J64" s="2121" t="s">
        <v>1235</v>
      </c>
      <c r="K64" s="2120">
        <v>2</v>
      </c>
      <c r="L64" s="2100">
        <v>1</v>
      </c>
      <c r="M64" s="417">
        <v>0</v>
      </c>
      <c r="N64" s="2101">
        <v>0</v>
      </c>
      <c r="O64" s="2825"/>
      <c r="P64" s="2102">
        <v>1016819180</v>
      </c>
      <c r="Q64" s="2102">
        <v>1016819180</v>
      </c>
      <c r="R64" s="2102">
        <v>0</v>
      </c>
      <c r="S64" s="2102">
        <v>0</v>
      </c>
      <c r="T64" s="2110">
        <f t="shared" si="21"/>
        <v>0</v>
      </c>
      <c r="U64" s="2111">
        <f t="shared" si="21"/>
        <v>0</v>
      </c>
      <c r="V64" s="453"/>
      <c r="W64" s="453"/>
      <c r="X64" s="213"/>
      <c r="Y64" s="2825"/>
    </row>
    <row r="65" spans="1:25">
      <c r="A65" s="3014">
        <v>4143</v>
      </c>
      <c r="B65" s="2069"/>
      <c r="C65" s="3021" t="s">
        <v>109</v>
      </c>
      <c r="D65" s="3015" t="s">
        <v>1271</v>
      </c>
      <c r="E65" s="2122" t="s">
        <v>4943</v>
      </c>
      <c r="F65" s="2097"/>
      <c r="G65" s="2097"/>
      <c r="H65" s="2097"/>
      <c r="I65" s="2098"/>
      <c r="J65" s="2098"/>
      <c r="K65" s="2098"/>
      <c r="L65" s="2100">
        <f>L66</f>
        <v>1</v>
      </c>
      <c r="M65" s="417"/>
      <c r="N65" s="2101">
        <f>SUM(N66)</f>
        <v>0</v>
      </c>
      <c r="O65" s="2826">
        <f>IF(Q65=0,"na",N65)</f>
        <v>0</v>
      </c>
      <c r="P65" s="2102">
        <f t="shared" ref="P65:S65" si="25">SUM(P66)</f>
        <v>361500712</v>
      </c>
      <c r="Q65" s="2102">
        <f t="shared" si="25"/>
        <v>361500712</v>
      </c>
      <c r="R65" s="2102">
        <f t="shared" si="25"/>
        <v>0</v>
      </c>
      <c r="S65" s="2102">
        <f t="shared" si="25"/>
        <v>0</v>
      </c>
      <c r="T65" s="2110">
        <f t="shared" si="21"/>
        <v>0</v>
      </c>
      <c r="U65" s="2111">
        <f t="shared" si="21"/>
        <v>0</v>
      </c>
      <c r="V65" s="453"/>
      <c r="W65" s="453"/>
      <c r="X65" s="213"/>
      <c r="Y65" s="3023" t="s">
        <v>1226</v>
      </c>
    </row>
    <row r="66" spans="1:25" ht="54">
      <c r="A66" s="2825"/>
      <c r="B66" s="2069"/>
      <c r="C66" s="2825"/>
      <c r="D66" s="2825"/>
      <c r="E66" s="2122" t="s">
        <v>1272</v>
      </c>
      <c r="F66" s="2097"/>
      <c r="G66" s="2121" t="s">
        <v>1233</v>
      </c>
      <c r="H66" s="2122">
        <f>M66</f>
        <v>0</v>
      </c>
      <c r="I66" s="2121" t="s">
        <v>1273</v>
      </c>
      <c r="J66" s="2121" t="s">
        <v>1235</v>
      </c>
      <c r="K66" s="2120">
        <v>3</v>
      </c>
      <c r="L66" s="2100">
        <v>1</v>
      </c>
      <c r="M66" s="417">
        <v>0</v>
      </c>
      <c r="N66" s="2101">
        <v>0</v>
      </c>
      <c r="O66" s="2825"/>
      <c r="P66" s="2102">
        <v>361500712</v>
      </c>
      <c r="Q66" s="2102">
        <v>361500712</v>
      </c>
      <c r="R66" s="2102">
        <v>0</v>
      </c>
      <c r="S66" s="2102">
        <v>0</v>
      </c>
      <c r="T66" s="2110">
        <f t="shared" si="21"/>
        <v>0</v>
      </c>
      <c r="U66" s="2111">
        <f t="shared" si="21"/>
        <v>0</v>
      </c>
      <c r="V66" s="453"/>
      <c r="W66" s="453"/>
      <c r="X66" s="213"/>
      <c r="Y66" s="2825"/>
    </row>
    <row r="67" spans="1:25">
      <c r="A67" s="3014">
        <v>4143</v>
      </c>
      <c r="B67" s="2069"/>
      <c r="C67" s="3021" t="s">
        <v>109</v>
      </c>
      <c r="D67" s="3015" t="s">
        <v>1274</v>
      </c>
      <c r="E67" s="2122" t="s">
        <v>4944</v>
      </c>
      <c r="F67" s="2097"/>
      <c r="G67" s="2097"/>
      <c r="H67" s="2097"/>
      <c r="I67" s="2098"/>
      <c r="J67" s="2098"/>
      <c r="K67" s="2098"/>
      <c r="L67" s="2100">
        <f>L68</f>
        <v>1</v>
      </c>
      <c r="M67" s="417"/>
      <c r="N67" s="2101">
        <f>SUM(N68)</f>
        <v>0</v>
      </c>
      <c r="O67" s="2826">
        <f>IF(Q67=0,"na",N67)</f>
        <v>0</v>
      </c>
      <c r="P67" s="2102">
        <f t="shared" ref="P67:S67" si="26">SUM(P68)</f>
        <v>730858662</v>
      </c>
      <c r="Q67" s="2102">
        <f t="shared" si="26"/>
        <v>730858662</v>
      </c>
      <c r="R67" s="2102">
        <f t="shared" si="26"/>
        <v>0</v>
      </c>
      <c r="S67" s="2102">
        <f t="shared" si="26"/>
        <v>0</v>
      </c>
      <c r="T67" s="2110">
        <f t="shared" si="21"/>
        <v>0</v>
      </c>
      <c r="U67" s="2111">
        <f t="shared" si="21"/>
        <v>0</v>
      </c>
      <c r="V67" s="453"/>
      <c r="W67" s="453"/>
      <c r="X67" s="213"/>
      <c r="Y67" s="3023" t="s">
        <v>1226</v>
      </c>
    </row>
    <row r="68" spans="1:25" ht="40.5">
      <c r="A68" s="2825"/>
      <c r="B68" s="2069"/>
      <c r="C68" s="2825"/>
      <c r="D68" s="2825"/>
      <c r="E68" s="2122" t="s">
        <v>1275</v>
      </c>
      <c r="F68" s="2097"/>
      <c r="G68" s="2121" t="s">
        <v>1233</v>
      </c>
      <c r="H68" s="2122">
        <f>M68</f>
        <v>0</v>
      </c>
      <c r="I68" s="2121" t="s">
        <v>1276</v>
      </c>
      <c r="J68" s="2121" t="s">
        <v>1235</v>
      </c>
      <c r="K68" s="2120">
        <v>2</v>
      </c>
      <c r="L68" s="2100">
        <v>1</v>
      </c>
      <c r="M68" s="417">
        <v>0</v>
      </c>
      <c r="N68" s="2101">
        <v>0</v>
      </c>
      <c r="O68" s="2825"/>
      <c r="P68" s="2102">
        <v>730858662</v>
      </c>
      <c r="Q68" s="2102">
        <v>730858662</v>
      </c>
      <c r="R68" s="2102">
        <v>0</v>
      </c>
      <c r="S68" s="2102">
        <v>0</v>
      </c>
      <c r="T68" s="2110">
        <f t="shared" si="21"/>
        <v>0</v>
      </c>
      <c r="U68" s="2111">
        <f t="shared" si="21"/>
        <v>0</v>
      </c>
      <c r="V68" s="453"/>
      <c r="W68" s="453"/>
      <c r="X68" s="213"/>
      <c r="Y68" s="2825"/>
    </row>
    <row r="69" spans="1:25">
      <c r="A69" s="2066"/>
      <c r="B69" s="2118">
        <v>5204</v>
      </c>
      <c r="C69" s="2136" t="s">
        <v>101</v>
      </c>
      <c r="D69" s="2068" t="s">
        <v>1277</v>
      </c>
      <c r="E69" s="2069"/>
      <c r="F69" s="2069"/>
      <c r="G69" s="2069"/>
      <c r="H69" s="2069"/>
      <c r="I69" s="2069"/>
      <c r="J69" s="2069"/>
      <c r="K69" s="2069"/>
      <c r="L69" s="2070"/>
      <c r="M69" s="417"/>
      <c r="N69" s="2101"/>
      <c r="O69" s="1213"/>
      <c r="P69" s="2102"/>
      <c r="Q69" s="2102"/>
      <c r="R69" s="2102"/>
      <c r="S69" s="2102"/>
      <c r="T69" s="2101"/>
      <c r="U69" s="2101"/>
      <c r="V69" s="453"/>
      <c r="W69" s="453"/>
      <c r="X69" s="213"/>
      <c r="Y69" s="2126"/>
    </row>
    <row r="70" spans="1:25">
      <c r="A70" s="2066"/>
      <c r="B70" s="2118">
        <v>5204001</v>
      </c>
      <c r="C70" s="2118" t="s">
        <v>102</v>
      </c>
      <c r="D70" s="2082" t="s">
        <v>1278</v>
      </c>
      <c r="E70" s="2069"/>
      <c r="F70" s="2069"/>
      <c r="G70" s="2069"/>
      <c r="H70" s="2069"/>
      <c r="I70" s="2069"/>
      <c r="J70" s="2069"/>
      <c r="K70" s="2069"/>
      <c r="L70" s="2070"/>
      <c r="M70" s="417"/>
      <c r="N70" s="2101"/>
      <c r="O70" s="2151"/>
      <c r="P70" s="2102"/>
      <c r="Q70" s="2102"/>
      <c r="R70" s="2102"/>
      <c r="S70" s="2102"/>
      <c r="T70" s="2101"/>
      <c r="U70" s="2101"/>
      <c r="V70" s="453"/>
      <c r="W70" s="453"/>
      <c r="X70" s="213"/>
      <c r="Y70" s="2126"/>
    </row>
    <row r="71" spans="1:25" ht="25.5">
      <c r="A71" s="2066"/>
      <c r="B71" s="2152">
        <v>52040010001</v>
      </c>
      <c r="C71" s="2152" t="s">
        <v>103</v>
      </c>
      <c r="D71" s="2153" t="s">
        <v>1279</v>
      </c>
      <c r="E71" s="2154"/>
      <c r="F71" s="2155">
        <v>0</v>
      </c>
      <c r="G71" s="2154"/>
      <c r="H71" s="2154"/>
      <c r="I71" s="2069"/>
      <c r="J71" s="2069"/>
      <c r="K71" s="2069"/>
      <c r="L71" s="2070"/>
      <c r="M71" s="417"/>
      <c r="N71" s="2101"/>
      <c r="O71" s="1213"/>
      <c r="P71" s="2102"/>
      <c r="Q71" s="2102"/>
      <c r="R71" s="2102"/>
      <c r="S71" s="2102"/>
      <c r="T71" s="2101"/>
      <c r="U71" s="2101"/>
      <c r="V71" s="453"/>
      <c r="W71" s="453"/>
      <c r="X71" s="213"/>
      <c r="Y71" s="2126"/>
    </row>
    <row r="72" spans="1:25">
      <c r="A72" s="3014">
        <v>4143</v>
      </c>
      <c r="B72" s="2069"/>
      <c r="C72" s="3016" t="s">
        <v>109</v>
      </c>
      <c r="D72" s="3015" t="s">
        <v>1280</v>
      </c>
      <c r="E72" s="2122" t="s">
        <v>4945</v>
      </c>
      <c r="F72" s="2119"/>
      <c r="G72" s="2097"/>
      <c r="H72" s="2097"/>
      <c r="I72" s="2098"/>
      <c r="J72" s="2098"/>
      <c r="K72" s="2098"/>
      <c r="L72" s="2100">
        <f>L73</f>
        <v>1</v>
      </c>
      <c r="M72" s="417"/>
      <c r="N72" s="2101">
        <f>SUM(N73)</f>
        <v>0.05</v>
      </c>
      <c r="O72" s="2826">
        <f>IF(Q72=0,"na",N72)</f>
        <v>0.05</v>
      </c>
      <c r="P72" s="2102">
        <f t="shared" ref="P72:S72" si="27">SUM(P73)</f>
        <v>674803554</v>
      </c>
      <c r="Q72" s="2102">
        <f t="shared" si="27"/>
        <v>574803554</v>
      </c>
      <c r="R72" s="2102">
        <f t="shared" si="27"/>
        <v>395603248</v>
      </c>
      <c r="S72" s="2102">
        <f t="shared" si="27"/>
        <v>0</v>
      </c>
      <c r="T72" s="2110">
        <f t="shared" ref="T72:U73" si="28">IF(Q72=0,0,R72/Q72)</f>
        <v>0.68824078286753254</v>
      </c>
      <c r="U72" s="2111">
        <f t="shared" si="28"/>
        <v>0</v>
      </c>
      <c r="V72" s="453"/>
      <c r="W72" s="453"/>
      <c r="X72" s="213"/>
      <c r="Y72" s="3023" t="s">
        <v>1199</v>
      </c>
    </row>
    <row r="73" spans="1:25" ht="54">
      <c r="A73" s="2825"/>
      <c r="B73" s="2069"/>
      <c r="C73" s="2825"/>
      <c r="D73" s="2825"/>
      <c r="E73" s="2122" t="s">
        <v>1281</v>
      </c>
      <c r="F73" s="2119"/>
      <c r="G73" s="2121" t="s">
        <v>1282</v>
      </c>
      <c r="H73" s="2122">
        <f>M73</f>
        <v>0</v>
      </c>
      <c r="I73" s="2121" t="s">
        <v>1283</v>
      </c>
      <c r="J73" s="2121" t="s">
        <v>1284</v>
      </c>
      <c r="K73" s="2120">
        <v>9075</v>
      </c>
      <c r="L73" s="2100">
        <v>1</v>
      </c>
      <c r="M73" s="417">
        <v>0</v>
      </c>
      <c r="N73" s="2101">
        <v>0.05</v>
      </c>
      <c r="O73" s="2825"/>
      <c r="P73" s="2102">
        <v>674803554</v>
      </c>
      <c r="Q73" s="2102">
        <v>574803554</v>
      </c>
      <c r="R73" s="2102">
        <v>395603248</v>
      </c>
      <c r="S73" s="2102">
        <v>0</v>
      </c>
      <c r="T73" s="2110">
        <f t="shared" si="28"/>
        <v>0.68824078286753254</v>
      </c>
      <c r="U73" s="2111">
        <f t="shared" si="28"/>
        <v>0</v>
      </c>
      <c r="V73" s="453">
        <v>45404</v>
      </c>
      <c r="W73" s="453">
        <v>45495</v>
      </c>
      <c r="X73" s="213" t="s">
        <v>4946</v>
      </c>
      <c r="Y73" s="2825"/>
    </row>
    <row r="74" spans="1:25" ht="25.5">
      <c r="A74" s="2066"/>
      <c r="B74" s="2152">
        <v>52040010002</v>
      </c>
      <c r="C74" s="2152" t="s">
        <v>103</v>
      </c>
      <c r="D74" s="2153" t="s">
        <v>1285</v>
      </c>
      <c r="E74" s="2154"/>
      <c r="F74" s="2155">
        <v>224000</v>
      </c>
      <c r="G74" s="2154"/>
      <c r="H74" s="2152">
        <f>H79+H76</f>
        <v>208604</v>
      </c>
      <c r="I74" s="2069"/>
      <c r="J74" s="2069"/>
      <c r="K74" s="2069"/>
      <c r="L74" s="2070"/>
      <c r="M74" s="417"/>
      <c r="N74" s="2101"/>
      <c r="O74" s="2151"/>
      <c r="P74" s="2102"/>
      <c r="Q74" s="2102"/>
      <c r="R74" s="2102"/>
      <c r="S74" s="2102"/>
      <c r="T74" s="2101"/>
      <c r="U74" s="2101"/>
      <c r="V74" s="453"/>
      <c r="W74" s="453"/>
      <c r="X74" s="213"/>
      <c r="Y74" s="2126"/>
    </row>
    <row r="75" spans="1:25">
      <c r="A75" s="2066"/>
      <c r="B75" s="2069"/>
      <c r="C75" s="3016" t="s">
        <v>109</v>
      </c>
      <c r="D75" s="3015" t="s">
        <v>1286</v>
      </c>
      <c r="E75" s="2122" t="s">
        <v>4947</v>
      </c>
      <c r="F75" s="2119"/>
      <c r="G75" s="2097"/>
      <c r="H75" s="2097"/>
      <c r="I75" s="2098"/>
      <c r="J75" s="2098"/>
      <c r="K75" s="2098"/>
      <c r="L75" s="2100">
        <f>SUM(L76:L77)</f>
        <v>1</v>
      </c>
      <c r="M75" s="417"/>
      <c r="N75" s="2101">
        <f>SUM(N76:N77)</f>
        <v>0.182</v>
      </c>
      <c r="O75" s="2826">
        <f>IF(Q75=0,"na",N75)</f>
        <v>0.182</v>
      </c>
      <c r="P75" s="2102">
        <f t="shared" ref="P75:S75" si="29">SUM(P76:P77)</f>
        <v>723650367755</v>
      </c>
      <c r="Q75" s="2102">
        <f t="shared" si="29"/>
        <v>729893840092</v>
      </c>
      <c r="R75" s="2102">
        <f t="shared" si="29"/>
        <v>346375579696</v>
      </c>
      <c r="S75" s="2102">
        <f t="shared" si="29"/>
        <v>321383516503</v>
      </c>
      <c r="T75" s="2110">
        <f t="shared" ref="T75:U90" si="30">IF(Q75=0,0,R75/Q75)</f>
        <v>0.47455610757359018</v>
      </c>
      <c r="U75" s="2111">
        <f t="shared" si="30"/>
        <v>0.92784692496239329</v>
      </c>
      <c r="V75" s="453"/>
      <c r="W75" s="453"/>
      <c r="X75" s="213"/>
      <c r="Y75" s="3023" t="s">
        <v>1287</v>
      </c>
    </row>
    <row r="76" spans="1:25" ht="94.5">
      <c r="A76" s="3014">
        <v>4143</v>
      </c>
      <c r="B76" s="2069"/>
      <c r="C76" s="2824"/>
      <c r="D76" s="2824"/>
      <c r="E76" s="2122" t="s">
        <v>1288</v>
      </c>
      <c r="F76" s="2119"/>
      <c r="G76" s="2131" t="s">
        <v>1289</v>
      </c>
      <c r="H76" s="2122">
        <v>166431</v>
      </c>
      <c r="I76" s="2131" t="s">
        <v>1290</v>
      </c>
      <c r="J76" s="2121" t="s">
        <v>1291</v>
      </c>
      <c r="K76" s="2120">
        <v>92</v>
      </c>
      <c r="L76" s="2100">
        <v>0.9</v>
      </c>
      <c r="M76" s="417">
        <v>92</v>
      </c>
      <c r="N76" s="2101">
        <v>0.16400000000000001</v>
      </c>
      <c r="O76" s="2824"/>
      <c r="P76" s="2102">
        <v>719744925426</v>
      </c>
      <c r="Q76" s="2102">
        <v>725988397763</v>
      </c>
      <c r="R76" s="2102">
        <v>344751479074</v>
      </c>
      <c r="S76" s="2102">
        <v>319879719967</v>
      </c>
      <c r="T76" s="2110">
        <f t="shared" si="30"/>
        <v>0.47487188519305323</v>
      </c>
      <c r="U76" s="2111">
        <f t="shared" si="30"/>
        <v>0.92785597563263433</v>
      </c>
      <c r="V76" s="453">
        <v>45323</v>
      </c>
      <c r="W76" s="453">
        <v>45657</v>
      </c>
      <c r="X76" s="2145" t="s">
        <v>4948</v>
      </c>
      <c r="Y76" s="2824"/>
    </row>
    <row r="77" spans="1:25" ht="27">
      <c r="A77" s="2825"/>
      <c r="B77" s="2069"/>
      <c r="C77" s="2825"/>
      <c r="D77" s="2825"/>
      <c r="E77" s="2122" t="s">
        <v>1292</v>
      </c>
      <c r="F77" s="2119"/>
      <c r="G77" s="2097"/>
      <c r="H77" s="2097"/>
      <c r="I77" s="2131" t="s">
        <v>1293</v>
      </c>
      <c r="J77" s="2121" t="s">
        <v>1294</v>
      </c>
      <c r="K77" s="2120">
        <v>62</v>
      </c>
      <c r="L77" s="2100">
        <v>0.1</v>
      </c>
      <c r="M77" s="417">
        <v>62</v>
      </c>
      <c r="N77" s="2101">
        <v>1.7999999999999999E-2</v>
      </c>
      <c r="O77" s="2825"/>
      <c r="P77" s="2102">
        <v>3905442329</v>
      </c>
      <c r="Q77" s="2102">
        <v>3905442329</v>
      </c>
      <c r="R77" s="2102">
        <v>1624100622</v>
      </c>
      <c r="S77" s="2102">
        <v>1503796536</v>
      </c>
      <c r="T77" s="2110">
        <f t="shared" si="30"/>
        <v>0.41585574313572204</v>
      </c>
      <c r="U77" s="2111">
        <f t="shared" si="30"/>
        <v>0.92592571890536468</v>
      </c>
      <c r="V77" s="453">
        <v>45323</v>
      </c>
      <c r="W77" s="453">
        <v>45657</v>
      </c>
      <c r="X77" s="213" t="s">
        <v>4949</v>
      </c>
      <c r="Y77" s="2825"/>
    </row>
    <row r="78" spans="1:25">
      <c r="A78" s="3014">
        <v>4143</v>
      </c>
      <c r="B78" s="2069"/>
      <c r="C78" s="3016" t="s">
        <v>109</v>
      </c>
      <c r="D78" s="3015" t="s">
        <v>1295</v>
      </c>
      <c r="E78" s="2122" t="s">
        <v>4950</v>
      </c>
      <c r="F78" s="2097"/>
      <c r="G78" s="2097"/>
      <c r="H78" s="2097"/>
      <c r="I78" s="2098"/>
      <c r="J78" s="2098"/>
      <c r="K78" s="2098"/>
      <c r="L78" s="2100">
        <f>SUM(L73)</f>
        <v>1</v>
      </c>
      <c r="M78" s="417"/>
      <c r="N78" s="2101">
        <f>SUM(N79)</f>
        <v>0.15</v>
      </c>
      <c r="O78" s="2826">
        <f>IF(Q78=0,"na",N78)</f>
        <v>0.15</v>
      </c>
      <c r="P78" s="2102">
        <f t="shared" ref="P78:S78" si="31">SUM(P79)</f>
        <v>140476006238</v>
      </c>
      <c r="Q78" s="2102">
        <f t="shared" si="31"/>
        <v>140476006238</v>
      </c>
      <c r="R78" s="2102">
        <f t="shared" si="31"/>
        <v>138132756979</v>
      </c>
      <c r="S78" s="2102">
        <f t="shared" si="31"/>
        <v>54565333459</v>
      </c>
      <c r="T78" s="2110">
        <f t="shared" si="30"/>
        <v>0.98331922068577338</v>
      </c>
      <c r="U78" s="2111">
        <f t="shared" si="30"/>
        <v>0.39502095413396721</v>
      </c>
      <c r="V78" s="453"/>
      <c r="W78" s="453"/>
      <c r="X78" s="2156"/>
      <c r="Y78" s="3023" t="s">
        <v>1199</v>
      </c>
    </row>
    <row r="79" spans="1:25" ht="67.5">
      <c r="A79" s="2825"/>
      <c r="B79" s="2069"/>
      <c r="C79" s="2825"/>
      <c r="D79" s="2825"/>
      <c r="E79" s="2122" t="s">
        <v>1296</v>
      </c>
      <c r="F79" s="2097"/>
      <c r="G79" s="2121" t="s">
        <v>1297</v>
      </c>
      <c r="H79" s="2122">
        <f>M79</f>
        <v>42173</v>
      </c>
      <c r="I79" s="2121" t="s">
        <v>1298</v>
      </c>
      <c r="J79" s="2121" t="s">
        <v>1299</v>
      </c>
      <c r="K79" s="2120">
        <v>59414</v>
      </c>
      <c r="L79" s="2100">
        <v>1</v>
      </c>
      <c r="M79" s="417">
        <v>42173</v>
      </c>
      <c r="N79" s="2101">
        <v>0.15</v>
      </c>
      <c r="O79" s="2825"/>
      <c r="P79" s="2102">
        <v>140476006238</v>
      </c>
      <c r="Q79" s="2102">
        <v>140476006238</v>
      </c>
      <c r="R79" s="2102">
        <v>138132756979</v>
      </c>
      <c r="S79" s="2102">
        <v>54565333459</v>
      </c>
      <c r="T79" s="2110">
        <f t="shared" si="30"/>
        <v>0.98331922068577338</v>
      </c>
      <c r="U79" s="2111">
        <f t="shared" si="30"/>
        <v>0.39502095413396721</v>
      </c>
      <c r="V79" s="453" t="s">
        <v>1300</v>
      </c>
      <c r="W79" s="453" t="s">
        <v>1301</v>
      </c>
      <c r="X79" s="213" t="s">
        <v>1302</v>
      </c>
      <c r="Y79" s="2825"/>
    </row>
    <row r="80" spans="1:25">
      <c r="A80" s="3014">
        <v>4143</v>
      </c>
      <c r="B80" s="2069"/>
      <c r="C80" s="3016" t="s">
        <v>109</v>
      </c>
      <c r="D80" s="3015" t="s">
        <v>1303</v>
      </c>
      <c r="E80" s="2122" t="s">
        <v>4951</v>
      </c>
      <c r="F80" s="2097"/>
      <c r="G80" s="2097"/>
      <c r="H80" s="2097"/>
      <c r="I80" s="2098"/>
      <c r="J80" s="2098"/>
      <c r="K80" s="2098"/>
      <c r="L80" s="2100">
        <f>SUM(L81:L82)</f>
        <v>1</v>
      </c>
      <c r="M80" s="417"/>
      <c r="N80" s="2101">
        <f>SUM(N81:N82)</f>
        <v>0.40500000000000003</v>
      </c>
      <c r="O80" s="2826">
        <f>IF(Q80=0,"na",N80)</f>
        <v>0.40500000000000003</v>
      </c>
      <c r="P80" s="2102">
        <f t="shared" ref="P80:S80" si="32">SUM(P81:P82)</f>
        <v>15068766746</v>
      </c>
      <c r="Q80" s="2102">
        <f t="shared" si="32"/>
        <v>15068766746</v>
      </c>
      <c r="R80" s="2102">
        <f t="shared" si="32"/>
        <v>15068656082</v>
      </c>
      <c r="S80" s="2102">
        <f t="shared" si="32"/>
        <v>1865543438</v>
      </c>
      <c r="T80" s="2110">
        <f t="shared" si="30"/>
        <v>0.99999265606788756</v>
      </c>
      <c r="U80" s="2111">
        <f t="shared" si="30"/>
        <v>0.1238029076944992</v>
      </c>
      <c r="V80" s="453"/>
      <c r="W80" s="453"/>
      <c r="X80" s="2157"/>
      <c r="Y80" s="3023" t="s">
        <v>1287</v>
      </c>
    </row>
    <row r="81" spans="1:25" ht="40.5">
      <c r="A81" s="2824"/>
      <c r="B81" s="2069"/>
      <c r="C81" s="2824"/>
      <c r="D81" s="2824"/>
      <c r="E81" s="2122" t="s">
        <v>1304</v>
      </c>
      <c r="F81" s="2097"/>
      <c r="G81" s="2097"/>
      <c r="H81" s="2097"/>
      <c r="I81" s="2121" t="s">
        <v>1305</v>
      </c>
      <c r="J81" s="2121" t="s">
        <v>1306</v>
      </c>
      <c r="K81" s="2120">
        <v>1</v>
      </c>
      <c r="L81" s="2100">
        <v>0.5</v>
      </c>
      <c r="M81" s="417">
        <v>1</v>
      </c>
      <c r="N81" s="2101">
        <v>0.20499999999999999</v>
      </c>
      <c r="O81" s="2824"/>
      <c r="P81" s="2102">
        <v>2504000000</v>
      </c>
      <c r="Q81" s="2102">
        <v>2504000000</v>
      </c>
      <c r="R81" s="2102">
        <v>2503889336</v>
      </c>
      <c r="S81" s="2102">
        <v>1865543438</v>
      </c>
      <c r="T81" s="2110">
        <f t="shared" si="30"/>
        <v>0.99995580511182114</v>
      </c>
      <c r="U81" s="2111">
        <f t="shared" si="30"/>
        <v>0.74505826243113171</v>
      </c>
      <c r="V81" s="453">
        <v>45357</v>
      </c>
      <c r="W81" s="453">
        <v>45626</v>
      </c>
      <c r="X81" s="2148" t="s">
        <v>4952</v>
      </c>
      <c r="Y81" s="2825"/>
    </row>
    <row r="82" spans="1:25" ht="54">
      <c r="A82" s="2825"/>
      <c r="B82" s="2069"/>
      <c r="C82" s="2825"/>
      <c r="D82" s="2825"/>
      <c r="E82" s="2122" t="s">
        <v>1307</v>
      </c>
      <c r="F82" s="2097"/>
      <c r="G82" s="2097"/>
      <c r="H82" s="2097"/>
      <c r="I82" s="2121" t="s">
        <v>1308</v>
      </c>
      <c r="J82" s="2121" t="s">
        <v>1309</v>
      </c>
      <c r="K82" s="2120">
        <v>168858</v>
      </c>
      <c r="L82" s="2100">
        <v>0.5</v>
      </c>
      <c r="M82" s="417">
        <v>168858</v>
      </c>
      <c r="N82" s="2101">
        <v>0.2</v>
      </c>
      <c r="O82" s="2825"/>
      <c r="P82" s="2102">
        <v>12564766746</v>
      </c>
      <c r="Q82" s="2102">
        <v>12564766746</v>
      </c>
      <c r="R82" s="2102">
        <v>12564766746</v>
      </c>
      <c r="S82" s="2102">
        <v>0</v>
      </c>
      <c r="T82" s="2110">
        <f t="shared" si="30"/>
        <v>1</v>
      </c>
      <c r="U82" s="2111">
        <f t="shared" si="30"/>
        <v>0</v>
      </c>
      <c r="V82" s="453">
        <v>45357</v>
      </c>
      <c r="W82" s="453">
        <v>45626</v>
      </c>
      <c r="X82" s="213" t="s">
        <v>4953</v>
      </c>
      <c r="Y82" s="2158" t="s">
        <v>1287</v>
      </c>
    </row>
    <row r="83" spans="1:25">
      <c r="A83" s="3014">
        <v>4143</v>
      </c>
      <c r="B83" s="2069"/>
      <c r="C83" s="3016" t="s">
        <v>109</v>
      </c>
      <c r="D83" s="3015" t="s">
        <v>1310</v>
      </c>
      <c r="E83" s="2122" t="s">
        <v>4954</v>
      </c>
      <c r="F83" s="2097"/>
      <c r="G83" s="2097"/>
      <c r="H83" s="2097"/>
      <c r="I83" s="2098"/>
      <c r="J83" s="2098"/>
      <c r="K83" s="2098"/>
      <c r="L83" s="2100">
        <f>L84</f>
        <v>1</v>
      </c>
      <c r="M83" s="417"/>
      <c r="N83" s="2101">
        <f>SUM(N84)</f>
        <v>0.25</v>
      </c>
      <c r="O83" s="2826">
        <f>IF(Q83=0,"na",N83)</f>
        <v>0.25</v>
      </c>
      <c r="P83" s="2102">
        <f t="shared" ref="P83:S83" si="33">SUM(P84)</f>
        <v>8000000000</v>
      </c>
      <c r="Q83" s="2102">
        <f t="shared" si="33"/>
        <v>8000000000</v>
      </c>
      <c r="R83" s="2102">
        <f t="shared" si="33"/>
        <v>5125174197</v>
      </c>
      <c r="S83" s="2102">
        <f t="shared" si="33"/>
        <v>4000000000</v>
      </c>
      <c r="T83" s="2110">
        <f t="shared" si="30"/>
        <v>0.64064677462499997</v>
      </c>
      <c r="U83" s="2111">
        <f t="shared" si="30"/>
        <v>0.78046127726573344</v>
      </c>
      <c r="V83" s="453"/>
      <c r="W83" s="453"/>
      <c r="X83" s="213"/>
      <c r="Y83" s="3023" t="s">
        <v>1287</v>
      </c>
    </row>
    <row r="84" spans="1:25" ht="40.5">
      <c r="A84" s="2825"/>
      <c r="B84" s="2069"/>
      <c r="C84" s="2825"/>
      <c r="D84" s="2825"/>
      <c r="E84" s="2122" t="s">
        <v>1311</v>
      </c>
      <c r="F84" s="2097"/>
      <c r="G84" s="2097"/>
      <c r="H84" s="2097"/>
      <c r="I84" s="2121" t="s">
        <v>1312</v>
      </c>
      <c r="J84" s="2121" t="s">
        <v>1291</v>
      </c>
      <c r="K84" s="2120">
        <v>92</v>
      </c>
      <c r="L84" s="2100">
        <v>1</v>
      </c>
      <c r="M84" s="417">
        <v>92</v>
      </c>
      <c r="N84" s="2101">
        <v>0.25</v>
      </c>
      <c r="O84" s="2825"/>
      <c r="P84" s="2102">
        <v>8000000000</v>
      </c>
      <c r="Q84" s="2102">
        <v>8000000000</v>
      </c>
      <c r="R84" s="2102">
        <v>5125174197</v>
      </c>
      <c r="S84" s="2102">
        <v>4000000000</v>
      </c>
      <c r="T84" s="2110">
        <f t="shared" si="30"/>
        <v>0.64064677462499997</v>
      </c>
      <c r="U84" s="2111">
        <f t="shared" si="30"/>
        <v>0.78046127726573344</v>
      </c>
      <c r="V84" s="453">
        <v>45323</v>
      </c>
      <c r="W84" s="453">
        <v>45657</v>
      </c>
      <c r="X84" s="213" t="s">
        <v>1313</v>
      </c>
      <c r="Y84" s="2825"/>
    </row>
    <row r="85" spans="1:25">
      <c r="A85" s="3014">
        <v>4143</v>
      </c>
      <c r="B85" s="2069"/>
      <c r="C85" s="3016" t="s">
        <v>109</v>
      </c>
      <c r="D85" s="3015" t="s">
        <v>1314</v>
      </c>
      <c r="E85" s="2122" t="s">
        <v>4955</v>
      </c>
      <c r="F85" s="2097"/>
      <c r="G85" s="2097"/>
      <c r="H85" s="2097"/>
      <c r="I85" s="2098"/>
      <c r="J85" s="2098"/>
      <c r="K85" s="2098"/>
      <c r="L85" s="2100">
        <f>SUM(L86)</f>
        <v>1</v>
      </c>
      <c r="M85" s="417"/>
      <c r="N85" s="2101">
        <f>SUM(N86)</f>
        <v>0.4</v>
      </c>
      <c r="O85" s="2826">
        <f>IF(Q85=0,"na",N85)</f>
        <v>0.4</v>
      </c>
      <c r="P85" s="2102">
        <f t="shared" ref="P85:S85" si="34">SUM(P86)</f>
        <v>1443703530</v>
      </c>
      <c r="Q85" s="2102">
        <f t="shared" si="34"/>
        <v>2217227034</v>
      </c>
      <c r="R85" s="2102">
        <f t="shared" si="34"/>
        <v>1589468757</v>
      </c>
      <c r="S85" s="2102">
        <f t="shared" si="34"/>
        <v>956899570</v>
      </c>
      <c r="T85" s="2110">
        <f t="shared" si="30"/>
        <v>0.71687235119649007</v>
      </c>
      <c r="U85" s="2111">
        <f t="shared" si="30"/>
        <v>0.6020247744951428</v>
      </c>
      <c r="V85" s="453"/>
      <c r="W85" s="453"/>
      <c r="X85" s="213"/>
      <c r="Y85" s="3023" t="s">
        <v>1287</v>
      </c>
    </row>
    <row r="86" spans="1:25" ht="40.5">
      <c r="A86" s="2825"/>
      <c r="B86" s="2069"/>
      <c r="C86" s="2825"/>
      <c r="D86" s="2825"/>
      <c r="E86" s="2122" t="s">
        <v>1315</v>
      </c>
      <c r="F86" s="2097"/>
      <c r="G86" s="2097"/>
      <c r="H86" s="2097"/>
      <c r="I86" s="2121" t="s">
        <v>1316</v>
      </c>
      <c r="J86" s="2121" t="s">
        <v>1291</v>
      </c>
      <c r="K86" s="2120">
        <v>25</v>
      </c>
      <c r="L86" s="2100">
        <v>1</v>
      </c>
      <c r="M86" s="417">
        <v>23</v>
      </c>
      <c r="N86" s="2101">
        <v>0.4</v>
      </c>
      <c r="O86" s="2825"/>
      <c r="P86" s="2102">
        <v>1443703530</v>
      </c>
      <c r="Q86" s="2102">
        <v>2217227034</v>
      </c>
      <c r="R86" s="2102">
        <v>1589468757</v>
      </c>
      <c r="S86" s="2102">
        <v>956899570</v>
      </c>
      <c r="T86" s="2110">
        <f t="shared" si="30"/>
        <v>0.71687235119649007</v>
      </c>
      <c r="U86" s="2111">
        <f t="shared" si="30"/>
        <v>0.6020247744951428</v>
      </c>
      <c r="V86" s="453">
        <v>45323</v>
      </c>
      <c r="W86" s="453">
        <v>45657</v>
      </c>
      <c r="X86" s="2147" t="s">
        <v>4956</v>
      </c>
      <c r="Y86" s="2825"/>
    </row>
    <row r="87" spans="1:25">
      <c r="A87" s="2823">
        <v>4143</v>
      </c>
      <c r="B87" s="2127"/>
      <c r="C87" s="3021" t="s">
        <v>109</v>
      </c>
      <c r="D87" s="3027" t="s">
        <v>1317</v>
      </c>
      <c r="E87" s="2160" t="s">
        <v>4957</v>
      </c>
      <c r="F87" s="2161"/>
      <c r="G87" s="2162"/>
      <c r="H87" s="2162"/>
      <c r="I87" s="2163"/>
      <c r="J87" s="2163"/>
      <c r="K87" s="2163"/>
      <c r="L87" s="2164">
        <f>SUM(L88)</f>
        <v>1</v>
      </c>
      <c r="M87" s="417"/>
      <c r="N87" s="2101">
        <f>SUM(N88)</f>
        <v>0.26500000000000001</v>
      </c>
      <c r="O87" s="2826">
        <f>IF(Q87=0,"na",N87)</f>
        <v>0.26500000000000001</v>
      </c>
      <c r="P87" s="2102">
        <f t="shared" ref="P87:S87" si="35">SUM(P88)</f>
        <v>55163328174</v>
      </c>
      <c r="Q87" s="2102">
        <f t="shared" si="35"/>
        <v>64999197174</v>
      </c>
      <c r="R87" s="2102">
        <f t="shared" si="35"/>
        <v>47654300898</v>
      </c>
      <c r="S87" s="2102">
        <f t="shared" si="35"/>
        <v>18251207689</v>
      </c>
      <c r="T87" s="2110">
        <f t="shared" si="30"/>
        <v>0.73315214602468903</v>
      </c>
      <c r="U87" s="2111">
        <f t="shared" si="30"/>
        <v>0.38299182539819787</v>
      </c>
      <c r="V87" s="453"/>
      <c r="W87" s="453"/>
      <c r="X87" s="2147"/>
      <c r="Y87" s="3028" t="s">
        <v>1287</v>
      </c>
    </row>
    <row r="88" spans="1:25" ht="54">
      <c r="A88" s="2825"/>
      <c r="B88" s="2127"/>
      <c r="C88" s="2825"/>
      <c r="D88" s="2825"/>
      <c r="E88" s="2160" t="s">
        <v>1318</v>
      </c>
      <c r="F88" s="2161"/>
      <c r="G88" s="2162"/>
      <c r="H88" s="2162"/>
      <c r="I88" s="2131" t="s">
        <v>1319</v>
      </c>
      <c r="J88" s="2131" t="s">
        <v>1291</v>
      </c>
      <c r="K88" s="2165">
        <v>92</v>
      </c>
      <c r="L88" s="2164">
        <v>1</v>
      </c>
      <c r="M88" s="417">
        <v>92</v>
      </c>
      <c r="N88" s="2101">
        <v>0.26500000000000001</v>
      </c>
      <c r="O88" s="2825"/>
      <c r="P88" s="2102">
        <v>55163328174</v>
      </c>
      <c r="Q88" s="2102">
        <v>64999197174</v>
      </c>
      <c r="R88" s="2102">
        <v>47654300898</v>
      </c>
      <c r="S88" s="2102">
        <v>18251207689</v>
      </c>
      <c r="T88" s="2110">
        <f t="shared" si="30"/>
        <v>0.73315214602468903</v>
      </c>
      <c r="U88" s="2111">
        <f t="shared" si="30"/>
        <v>0.38299182539819787</v>
      </c>
      <c r="V88" s="453">
        <v>45323</v>
      </c>
      <c r="W88" s="453">
        <v>45657</v>
      </c>
      <c r="X88" s="446" t="s">
        <v>4958</v>
      </c>
      <c r="Y88" s="2825"/>
    </row>
    <row r="89" spans="1:25">
      <c r="A89" s="3014">
        <v>4143</v>
      </c>
      <c r="B89" s="2069"/>
      <c r="C89" s="3016" t="s">
        <v>109</v>
      </c>
      <c r="D89" s="3015" t="s">
        <v>1320</v>
      </c>
      <c r="E89" s="2166" t="s">
        <v>4959</v>
      </c>
      <c r="F89" s="2119"/>
      <c r="G89" s="2097"/>
      <c r="H89" s="2097"/>
      <c r="I89" s="2098"/>
      <c r="J89" s="2098"/>
      <c r="K89" s="2098"/>
      <c r="L89" s="2100">
        <f>L90</f>
        <v>0.7</v>
      </c>
      <c r="M89" s="417"/>
      <c r="N89" s="2101">
        <f>SUM(N90:N91)</f>
        <v>0.04</v>
      </c>
      <c r="O89" s="2826">
        <f>IF(Q89=0,"na",N89)</f>
        <v>0.04</v>
      </c>
      <c r="P89" s="2102">
        <f t="shared" ref="P89:S89" si="36">SUM(P90:P91)</f>
        <v>575139400</v>
      </c>
      <c r="Q89" s="2102">
        <f t="shared" si="36"/>
        <v>1224140720</v>
      </c>
      <c r="R89" s="2102">
        <f t="shared" si="36"/>
        <v>617490315</v>
      </c>
      <c r="S89" s="2102">
        <f t="shared" si="36"/>
        <v>190944000</v>
      </c>
      <c r="T89" s="2110">
        <f t="shared" si="30"/>
        <v>0.50442755878588863</v>
      </c>
      <c r="U89" s="2111">
        <f t="shared" si="30"/>
        <v>0.30922590259573546</v>
      </c>
      <c r="V89" s="453"/>
      <c r="W89" s="453"/>
      <c r="X89" s="446"/>
      <c r="Y89" s="3023" t="s">
        <v>1321</v>
      </c>
    </row>
    <row r="90" spans="1:25" ht="40.5">
      <c r="A90" s="2824"/>
      <c r="B90" s="2069"/>
      <c r="C90" s="2824"/>
      <c r="D90" s="2824"/>
      <c r="E90" s="2166" t="s">
        <v>1322</v>
      </c>
      <c r="F90" s="2119"/>
      <c r="G90" s="2097"/>
      <c r="H90" s="2097"/>
      <c r="I90" s="2121" t="s">
        <v>1323</v>
      </c>
      <c r="J90" s="2121" t="s">
        <v>1324</v>
      </c>
      <c r="K90" s="2120">
        <v>152</v>
      </c>
      <c r="L90" s="2100">
        <v>0.7</v>
      </c>
      <c r="M90" s="417">
        <v>57</v>
      </c>
      <c r="N90" s="2101">
        <v>0.04</v>
      </c>
      <c r="O90" s="2824"/>
      <c r="P90" s="2102">
        <v>575139400</v>
      </c>
      <c r="Q90" s="2102">
        <v>1200701732</v>
      </c>
      <c r="R90" s="2102">
        <v>617490315</v>
      </c>
      <c r="S90" s="2102">
        <v>190944000</v>
      </c>
      <c r="T90" s="2110">
        <f t="shared" si="30"/>
        <v>0.51427452675649177</v>
      </c>
      <c r="U90" s="2111">
        <f t="shared" si="30"/>
        <v>0.30922590259573546</v>
      </c>
      <c r="V90" s="2124">
        <v>45382</v>
      </c>
      <c r="W90" s="2124">
        <v>45626</v>
      </c>
      <c r="X90" s="2147" t="s">
        <v>4960</v>
      </c>
      <c r="Y90" s="2824"/>
    </row>
    <row r="91" spans="1:25">
      <c r="A91" s="2825"/>
      <c r="B91" s="2069"/>
      <c r="C91" s="2825"/>
      <c r="D91" s="2825"/>
      <c r="E91" s="2166" t="s">
        <v>4961</v>
      </c>
      <c r="F91" s="2119"/>
      <c r="G91" s="2097"/>
      <c r="H91" s="2097"/>
      <c r="I91" s="2121" t="s">
        <v>4962</v>
      </c>
      <c r="J91" s="2121" t="s">
        <v>4963</v>
      </c>
      <c r="K91" s="2120">
        <v>1</v>
      </c>
      <c r="L91" s="2100">
        <v>0.3</v>
      </c>
      <c r="M91" s="417">
        <v>0</v>
      </c>
      <c r="N91" s="2101">
        <v>0</v>
      </c>
      <c r="O91" s="2825"/>
      <c r="P91" s="2102">
        <v>0</v>
      </c>
      <c r="Q91" s="2102">
        <v>23438988</v>
      </c>
      <c r="R91" s="2102">
        <v>0</v>
      </c>
      <c r="S91" s="2102">
        <v>0</v>
      </c>
      <c r="T91" s="2110">
        <f t="shared" ref="T91:U91" si="37">IF(Q91=0,0,R91/Q91)</f>
        <v>0</v>
      </c>
      <c r="U91" s="2111">
        <f t="shared" si="37"/>
        <v>0</v>
      </c>
      <c r="V91" s="2124"/>
      <c r="W91" s="2124"/>
      <c r="X91" s="2147"/>
      <c r="Y91" s="2825"/>
    </row>
    <row r="92" spans="1:25" ht="38.25">
      <c r="A92" s="2066"/>
      <c r="B92" s="2152">
        <v>52040010003</v>
      </c>
      <c r="C92" s="2152" t="s">
        <v>103</v>
      </c>
      <c r="D92" s="2153" t="s">
        <v>4964</v>
      </c>
      <c r="E92" s="2167"/>
      <c r="F92" s="2155">
        <v>75</v>
      </c>
      <c r="G92" s="2154"/>
      <c r="H92" s="2154"/>
      <c r="I92" s="2069"/>
      <c r="J92" s="2069"/>
      <c r="K92" s="2069"/>
      <c r="L92" s="2070"/>
      <c r="M92" s="417"/>
      <c r="N92" s="2101"/>
      <c r="O92" s="1213"/>
      <c r="P92" s="2102"/>
      <c r="Q92" s="2102"/>
      <c r="R92" s="2102"/>
      <c r="S92" s="2102"/>
      <c r="T92" s="2110"/>
      <c r="U92" s="2111"/>
      <c r="V92" s="453"/>
      <c r="W92" s="453"/>
      <c r="X92" s="2168"/>
      <c r="Y92" s="2126"/>
    </row>
    <row r="93" spans="1:25">
      <c r="A93" s="3014">
        <v>4143</v>
      </c>
      <c r="B93" s="2069"/>
      <c r="C93" s="3016" t="s">
        <v>109</v>
      </c>
      <c r="D93" s="3015" t="s">
        <v>4965</v>
      </c>
      <c r="E93" s="2096" t="s">
        <v>4966</v>
      </c>
      <c r="F93" s="2155"/>
      <c r="G93" s="2154"/>
      <c r="H93" s="2154"/>
      <c r="I93" s="2098"/>
      <c r="J93" s="2098"/>
      <c r="K93" s="2098"/>
      <c r="L93" s="2100"/>
      <c r="M93" s="417"/>
      <c r="N93" s="2101">
        <f>SUM(N94:N95)</f>
        <v>0</v>
      </c>
      <c r="O93" s="2826">
        <f>IF(Q93=0,"na",N93)</f>
        <v>0</v>
      </c>
      <c r="P93" s="2102">
        <f t="shared" ref="P93:S93" si="38">SUM(P94:P95)</f>
        <v>0</v>
      </c>
      <c r="Q93" s="2102">
        <f t="shared" si="38"/>
        <v>100000000</v>
      </c>
      <c r="R93" s="2102">
        <f t="shared" si="38"/>
        <v>0</v>
      </c>
      <c r="S93" s="2102">
        <f t="shared" si="38"/>
        <v>0</v>
      </c>
      <c r="T93" s="2110">
        <f t="shared" ref="T93:U97" si="39">IF(Q93=0,0,R93/Q93)</f>
        <v>0</v>
      </c>
      <c r="U93" s="2111">
        <f t="shared" si="39"/>
        <v>0</v>
      </c>
      <c r="V93" s="453"/>
      <c r="W93" s="453"/>
      <c r="X93" s="2168"/>
      <c r="Y93" s="3023" t="s">
        <v>4967</v>
      </c>
    </row>
    <row r="94" spans="1:25" ht="27.75">
      <c r="A94" s="2824"/>
      <c r="B94" s="2069"/>
      <c r="C94" s="2824"/>
      <c r="D94" s="2824"/>
      <c r="E94" s="2166" t="s">
        <v>4968</v>
      </c>
      <c r="F94" s="2155"/>
      <c r="G94" s="2154"/>
      <c r="H94" s="2154"/>
      <c r="I94" s="2121" t="s">
        <v>4969</v>
      </c>
      <c r="J94" s="2121" t="s">
        <v>4970</v>
      </c>
      <c r="K94" s="2098">
        <v>60</v>
      </c>
      <c r="L94" s="2100">
        <v>0.82</v>
      </c>
      <c r="M94" s="417"/>
      <c r="N94" s="2101">
        <v>0</v>
      </c>
      <c r="O94" s="2824"/>
      <c r="P94" s="2102">
        <v>0</v>
      </c>
      <c r="Q94" s="2102">
        <v>81796000</v>
      </c>
      <c r="R94" s="2102">
        <v>0</v>
      </c>
      <c r="S94" s="2102">
        <v>0</v>
      </c>
      <c r="T94" s="2110">
        <f t="shared" si="39"/>
        <v>0</v>
      </c>
      <c r="U94" s="2111">
        <f t="shared" si="39"/>
        <v>0</v>
      </c>
      <c r="V94" s="453"/>
      <c r="W94" s="453"/>
      <c r="X94" s="2168"/>
      <c r="Y94" s="2824"/>
    </row>
    <row r="95" spans="1:25" ht="27.75">
      <c r="A95" s="2825"/>
      <c r="B95" s="2069"/>
      <c r="C95" s="2825"/>
      <c r="D95" s="2825"/>
      <c r="E95" s="2166" t="s">
        <v>4971</v>
      </c>
      <c r="F95" s="2155"/>
      <c r="G95" s="2154" t="s">
        <v>4972</v>
      </c>
      <c r="H95" s="2154">
        <v>0</v>
      </c>
      <c r="I95" s="2121" t="s">
        <v>4973</v>
      </c>
      <c r="J95" s="2121" t="s">
        <v>1339</v>
      </c>
      <c r="K95" s="2098">
        <v>2</v>
      </c>
      <c r="L95" s="2100">
        <v>0.12</v>
      </c>
      <c r="M95" s="417">
        <v>0</v>
      </c>
      <c r="N95" s="2101">
        <v>0</v>
      </c>
      <c r="O95" s="2825"/>
      <c r="P95" s="2102">
        <v>0</v>
      </c>
      <c r="Q95" s="2102">
        <v>18204000</v>
      </c>
      <c r="R95" s="2102">
        <v>0</v>
      </c>
      <c r="S95" s="2102">
        <v>0</v>
      </c>
      <c r="T95" s="2110">
        <f t="shared" si="39"/>
        <v>0</v>
      </c>
      <c r="U95" s="2111">
        <f t="shared" si="39"/>
        <v>0</v>
      </c>
      <c r="V95" s="453"/>
      <c r="W95" s="453"/>
      <c r="X95" s="2168"/>
      <c r="Y95" s="2825"/>
    </row>
    <row r="96" spans="1:25">
      <c r="A96" s="3014">
        <v>4143</v>
      </c>
      <c r="B96" s="2069"/>
      <c r="C96" s="3016" t="s">
        <v>109</v>
      </c>
      <c r="D96" s="3015" t="s">
        <v>4974</v>
      </c>
      <c r="E96" s="2096" t="s">
        <v>4975</v>
      </c>
      <c r="F96" s="2155"/>
      <c r="G96" s="2154"/>
      <c r="H96" s="2154"/>
      <c r="I96" s="2098"/>
      <c r="J96" s="2098"/>
      <c r="K96" s="2098"/>
      <c r="L96" s="2100">
        <f>SUM(L97)</f>
        <v>1</v>
      </c>
      <c r="M96" s="417"/>
      <c r="N96" s="2101">
        <f>SUM(N97)</f>
        <v>0</v>
      </c>
      <c r="O96" s="2826">
        <f>IF(Q96=0,"na",N96)</f>
        <v>0</v>
      </c>
      <c r="P96" s="2102">
        <f t="shared" ref="P96:S96" si="40">SUM(P97)</f>
        <v>0</v>
      </c>
      <c r="Q96" s="2102">
        <f t="shared" si="40"/>
        <v>217824036</v>
      </c>
      <c r="R96" s="2102">
        <f t="shared" si="40"/>
        <v>0</v>
      </c>
      <c r="S96" s="2102">
        <f t="shared" si="40"/>
        <v>0</v>
      </c>
      <c r="T96" s="2110">
        <f t="shared" si="39"/>
        <v>0</v>
      </c>
      <c r="U96" s="2111">
        <f t="shared" si="39"/>
        <v>0</v>
      </c>
      <c r="V96" s="453"/>
      <c r="W96" s="453"/>
      <c r="X96" s="2168"/>
      <c r="Y96" s="3023" t="s">
        <v>4967</v>
      </c>
    </row>
    <row r="97" spans="1:25" ht="90.75">
      <c r="A97" s="2825"/>
      <c r="B97" s="2069"/>
      <c r="C97" s="2825"/>
      <c r="D97" s="2825"/>
      <c r="E97" s="2122" t="s">
        <v>4976</v>
      </c>
      <c r="F97" s="2155"/>
      <c r="G97" s="2169" t="s">
        <v>4977</v>
      </c>
      <c r="H97" s="2154">
        <v>0</v>
      </c>
      <c r="I97" s="2121" t="s">
        <v>4978</v>
      </c>
      <c r="J97" s="2121" t="s">
        <v>4979</v>
      </c>
      <c r="K97" s="2098">
        <v>2210</v>
      </c>
      <c r="L97" s="2100">
        <v>1</v>
      </c>
      <c r="M97" s="417">
        <v>0</v>
      </c>
      <c r="N97" s="2101">
        <v>0</v>
      </c>
      <c r="O97" s="2825"/>
      <c r="P97" s="2102">
        <v>0</v>
      </c>
      <c r="Q97" s="2102">
        <v>217824036</v>
      </c>
      <c r="R97" s="2102">
        <v>0</v>
      </c>
      <c r="S97" s="2102">
        <v>0</v>
      </c>
      <c r="T97" s="2110">
        <f t="shared" si="39"/>
        <v>0</v>
      </c>
      <c r="U97" s="2111">
        <f t="shared" si="39"/>
        <v>0</v>
      </c>
      <c r="V97" s="453"/>
      <c r="W97" s="453"/>
      <c r="X97" s="2168"/>
      <c r="Y97" s="2825"/>
    </row>
    <row r="98" spans="1:25">
      <c r="A98" s="2066"/>
      <c r="B98" s="2152">
        <v>52040010004</v>
      </c>
      <c r="C98" s="2152" t="s">
        <v>103</v>
      </c>
      <c r="D98" s="2153" t="s">
        <v>1325</v>
      </c>
      <c r="E98" s="2167"/>
      <c r="F98" s="2155">
        <v>18000</v>
      </c>
      <c r="G98" s="2154"/>
      <c r="H98" s="2154"/>
      <c r="I98" s="2069"/>
      <c r="J98" s="2069"/>
      <c r="K98" s="2069"/>
      <c r="L98" s="2070"/>
      <c r="M98" s="417"/>
      <c r="N98" s="2101"/>
      <c r="O98" s="1213"/>
      <c r="P98" s="2102"/>
      <c r="Q98" s="2102"/>
      <c r="R98" s="2102"/>
      <c r="S98" s="2102"/>
      <c r="T98" s="2101"/>
      <c r="U98" s="2101"/>
      <c r="V98" s="453"/>
      <c r="W98" s="453"/>
      <c r="X98" s="2168"/>
      <c r="Y98" s="2126"/>
    </row>
    <row r="99" spans="1:25">
      <c r="A99" s="3014">
        <v>4143</v>
      </c>
      <c r="B99" s="2069"/>
      <c r="C99" s="3016" t="s">
        <v>109</v>
      </c>
      <c r="D99" s="3015" t="s">
        <v>1326</v>
      </c>
      <c r="E99" s="2096" t="s">
        <v>4980</v>
      </c>
      <c r="F99" s="2097"/>
      <c r="G99" s="2097"/>
      <c r="H99" s="2097"/>
      <c r="I99" s="2098"/>
      <c r="J99" s="2098"/>
      <c r="K99" s="2098"/>
      <c r="L99" s="2100">
        <f>SUM(L100:L101)</f>
        <v>1</v>
      </c>
      <c r="M99" s="417"/>
      <c r="N99" s="2101">
        <f>SUM(N100:N101)</f>
        <v>0.46200000000000002</v>
      </c>
      <c r="O99" s="2826">
        <f>IF(Q99=0,"na",N99)</f>
        <v>0.46200000000000002</v>
      </c>
      <c r="P99" s="2102">
        <f t="shared" ref="P99:S99" si="41">SUM(P100:P101)</f>
        <v>30360000000</v>
      </c>
      <c r="Q99" s="2102">
        <f t="shared" si="41"/>
        <v>45085690277</v>
      </c>
      <c r="R99" s="2102">
        <f t="shared" si="41"/>
        <v>23144623695</v>
      </c>
      <c r="S99" s="2102">
        <f t="shared" si="41"/>
        <v>20011901663</v>
      </c>
      <c r="T99" s="2110">
        <f t="shared" ref="T99:U101" si="42">IF(Q99=0,0,R99/Q99)</f>
        <v>0.51334744023664181</v>
      </c>
      <c r="U99" s="2111">
        <f t="shared" si="42"/>
        <v>0.86464579967758248</v>
      </c>
      <c r="V99" s="453"/>
      <c r="W99" s="453"/>
      <c r="X99" s="2147"/>
      <c r="Y99" s="3023" t="s">
        <v>1199</v>
      </c>
    </row>
    <row r="100" spans="1:25" ht="40.5">
      <c r="A100" s="2824"/>
      <c r="B100" s="2069"/>
      <c r="C100" s="2824"/>
      <c r="D100" s="2824"/>
      <c r="E100" s="2122" t="s">
        <v>1327</v>
      </c>
      <c r="F100" s="2097"/>
      <c r="G100" s="2121" t="s">
        <v>1325</v>
      </c>
      <c r="H100" s="2122">
        <f>M100</f>
        <v>21440</v>
      </c>
      <c r="I100" s="2121" t="s">
        <v>1328</v>
      </c>
      <c r="J100" s="2121" t="s">
        <v>1329</v>
      </c>
      <c r="K100" s="2120">
        <v>22777</v>
      </c>
      <c r="L100" s="2100">
        <v>0.98</v>
      </c>
      <c r="M100" s="417">
        <v>21440</v>
      </c>
      <c r="N100" s="2101">
        <v>0.46100000000000002</v>
      </c>
      <c r="O100" s="2824"/>
      <c r="P100" s="2102">
        <v>29921755176</v>
      </c>
      <c r="Q100" s="2102">
        <v>44647445453</v>
      </c>
      <c r="R100" s="2102">
        <v>23067766095</v>
      </c>
      <c r="S100" s="2102">
        <v>20011901663</v>
      </c>
      <c r="T100" s="2110">
        <f t="shared" si="42"/>
        <v>0.51666485867110246</v>
      </c>
      <c r="U100" s="2111">
        <f t="shared" si="42"/>
        <v>0.86752664218047681</v>
      </c>
      <c r="V100" s="453">
        <v>45320</v>
      </c>
      <c r="W100" s="453">
        <v>45456</v>
      </c>
      <c r="X100" s="213" t="s">
        <v>4981</v>
      </c>
      <c r="Y100" s="2824"/>
    </row>
    <row r="101" spans="1:25" ht="40.5">
      <c r="A101" s="2825"/>
      <c r="B101" s="2069"/>
      <c r="C101" s="2825"/>
      <c r="D101" s="2825"/>
      <c r="E101" s="2122" t="s">
        <v>1330</v>
      </c>
      <c r="F101" s="2097"/>
      <c r="G101" s="2097"/>
      <c r="H101" s="2097"/>
      <c r="I101" s="2121" t="s">
        <v>1331</v>
      </c>
      <c r="J101" s="2121" t="s">
        <v>1332</v>
      </c>
      <c r="K101" s="2120">
        <v>67</v>
      </c>
      <c r="L101" s="2100">
        <v>0.02</v>
      </c>
      <c r="M101" s="417">
        <v>0</v>
      </c>
      <c r="N101" s="2101">
        <v>1E-3</v>
      </c>
      <c r="O101" s="2825"/>
      <c r="P101" s="2102">
        <v>438244824</v>
      </c>
      <c r="Q101" s="2102">
        <v>438244824</v>
      </c>
      <c r="R101" s="2102">
        <v>76857600</v>
      </c>
      <c r="S101" s="2102">
        <v>0</v>
      </c>
      <c r="T101" s="2110">
        <f t="shared" si="42"/>
        <v>0.17537594465690712</v>
      </c>
      <c r="U101" s="2111">
        <f t="shared" si="42"/>
        <v>0</v>
      </c>
      <c r="V101" s="453" t="s">
        <v>4982</v>
      </c>
      <c r="W101" s="453" t="s">
        <v>4983</v>
      </c>
      <c r="X101" s="213" t="s">
        <v>4984</v>
      </c>
      <c r="Y101" s="2825"/>
    </row>
    <row r="102" spans="1:25">
      <c r="A102" s="2066"/>
      <c r="B102" s="2152">
        <v>52040010005</v>
      </c>
      <c r="C102" s="2152" t="s">
        <v>103</v>
      </c>
      <c r="D102" s="2153" t="s">
        <v>1333</v>
      </c>
      <c r="E102" s="2154"/>
      <c r="F102" s="2152">
        <v>92</v>
      </c>
      <c r="G102" s="2154"/>
      <c r="H102" s="2152">
        <f>SUM(H104:H119)</f>
        <v>0</v>
      </c>
      <c r="I102" s="2069"/>
      <c r="J102" s="2069"/>
      <c r="K102" s="2069"/>
      <c r="L102" s="2070"/>
      <c r="M102" s="417"/>
      <c r="N102" s="2101"/>
      <c r="O102" s="421"/>
      <c r="P102" s="2115"/>
      <c r="Q102" s="2170"/>
      <c r="R102" s="2115"/>
      <c r="S102" s="2115"/>
      <c r="T102" s="2101"/>
      <c r="U102" s="2101"/>
      <c r="V102" s="453"/>
      <c r="W102" s="453"/>
      <c r="X102" s="213"/>
      <c r="Y102" s="2126"/>
    </row>
    <row r="103" spans="1:25">
      <c r="A103" s="3029">
        <v>4143</v>
      </c>
      <c r="B103" s="2069"/>
      <c r="C103" s="3030" t="s">
        <v>109</v>
      </c>
      <c r="D103" s="3015" t="s">
        <v>1334</v>
      </c>
      <c r="E103" s="2144" t="s">
        <v>1335</v>
      </c>
      <c r="F103" s="2097"/>
      <c r="G103" s="2162"/>
      <c r="H103" s="2162"/>
      <c r="I103" s="2163"/>
      <c r="J103" s="2163"/>
      <c r="K103" s="2163"/>
      <c r="L103" s="2100">
        <f>SUM(L104:L105)</f>
        <v>1</v>
      </c>
      <c r="M103" s="417"/>
      <c r="N103" s="2101">
        <f>SUM(N104)</f>
        <v>0</v>
      </c>
      <c r="O103" s="2826">
        <f>IF(Q103=0,"na",N103)</f>
        <v>0</v>
      </c>
      <c r="P103" s="2102">
        <f t="shared" ref="P103:S103" si="43">SUM(P104:P105)</f>
        <v>1000000000</v>
      </c>
      <c r="Q103" s="2102">
        <f t="shared" si="43"/>
        <v>8179854863</v>
      </c>
      <c r="R103" s="2102">
        <f t="shared" si="43"/>
        <v>0</v>
      </c>
      <c r="S103" s="2102">
        <f t="shared" si="43"/>
        <v>0</v>
      </c>
      <c r="T103" s="2110">
        <f t="shared" ref="T103:U118" si="44">IF(Q103=0,0,R103/Q103)</f>
        <v>0</v>
      </c>
      <c r="U103" s="2111">
        <f t="shared" si="44"/>
        <v>0</v>
      </c>
      <c r="V103" s="453"/>
      <c r="W103" s="453"/>
      <c r="X103" s="213"/>
      <c r="Y103" s="3023" t="s">
        <v>1287</v>
      </c>
    </row>
    <row r="104" spans="1:25" ht="27">
      <c r="A104" s="2824"/>
      <c r="B104" s="2069"/>
      <c r="C104" s="2824"/>
      <c r="D104" s="2824"/>
      <c r="E104" s="2144" t="s">
        <v>1336</v>
      </c>
      <c r="F104" s="2097"/>
      <c r="G104" s="3031" t="s">
        <v>1337</v>
      </c>
      <c r="H104" s="2122">
        <f t="shared" ref="H104:H105" si="45">M104</f>
        <v>0</v>
      </c>
      <c r="I104" s="2131" t="s">
        <v>1338</v>
      </c>
      <c r="J104" s="2131" t="s">
        <v>1339</v>
      </c>
      <c r="K104" s="2120">
        <v>43</v>
      </c>
      <c r="L104" s="2100">
        <v>0.8</v>
      </c>
      <c r="M104" s="417">
        <v>0</v>
      </c>
      <c r="N104" s="2101">
        <v>0</v>
      </c>
      <c r="O104" s="2824"/>
      <c r="P104" s="2102">
        <v>1000000000</v>
      </c>
      <c r="Q104" s="2102">
        <v>4607141803</v>
      </c>
      <c r="R104" s="2102">
        <v>0</v>
      </c>
      <c r="S104" s="2102">
        <v>0</v>
      </c>
      <c r="T104" s="2110">
        <f t="shared" si="44"/>
        <v>0</v>
      </c>
      <c r="U104" s="2111">
        <f t="shared" si="44"/>
        <v>0</v>
      </c>
      <c r="V104" s="453"/>
      <c r="W104" s="453"/>
      <c r="X104" s="213"/>
      <c r="Y104" s="2824"/>
    </row>
    <row r="105" spans="1:25">
      <c r="A105" s="2825"/>
      <c r="B105" s="2069"/>
      <c r="C105" s="2825"/>
      <c r="D105" s="2825"/>
      <c r="E105" s="2144" t="s">
        <v>4985</v>
      </c>
      <c r="F105" s="2097"/>
      <c r="G105" s="2825"/>
      <c r="H105" s="2122">
        <f t="shared" si="45"/>
        <v>0</v>
      </c>
      <c r="I105" s="2131" t="s">
        <v>4986</v>
      </c>
      <c r="J105" s="2131" t="s">
        <v>1343</v>
      </c>
      <c r="K105" s="2120">
        <v>23</v>
      </c>
      <c r="L105" s="2100">
        <v>0.2</v>
      </c>
      <c r="M105" s="417">
        <v>0</v>
      </c>
      <c r="N105" s="2101">
        <v>0</v>
      </c>
      <c r="O105" s="2825"/>
      <c r="P105" s="2102">
        <v>0</v>
      </c>
      <c r="Q105" s="2102">
        <v>3572713060</v>
      </c>
      <c r="R105" s="2102">
        <v>0</v>
      </c>
      <c r="S105" s="2102">
        <v>0</v>
      </c>
      <c r="T105" s="2110">
        <f t="shared" si="44"/>
        <v>0</v>
      </c>
      <c r="U105" s="2111">
        <f t="shared" si="44"/>
        <v>0</v>
      </c>
      <c r="V105" s="453"/>
      <c r="W105" s="453"/>
      <c r="X105" s="213"/>
      <c r="Y105" s="2825"/>
    </row>
    <row r="106" spans="1:25">
      <c r="A106" s="3029">
        <v>4143</v>
      </c>
      <c r="B106" s="2069"/>
      <c r="C106" s="3030" t="s">
        <v>109</v>
      </c>
      <c r="D106" s="3015" t="s">
        <v>1340</v>
      </c>
      <c r="E106" s="2144" t="s">
        <v>4987</v>
      </c>
      <c r="F106" s="2097"/>
      <c r="G106" s="2097"/>
      <c r="H106" s="2097"/>
      <c r="I106" s="2098"/>
      <c r="J106" s="2098"/>
      <c r="K106" s="2098"/>
      <c r="L106" s="2100">
        <f>SUM(L107)</f>
        <v>1</v>
      </c>
      <c r="M106" s="417"/>
      <c r="N106" s="2101">
        <f>SUM(N107)</f>
        <v>0</v>
      </c>
      <c r="O106" s="2826">
        <f>IF(Q106=0,"na",N106)</f>
        <v>0</v>
      </c>
      <c r="P106" s="2102">
        <f t="shared" ref="P106:S106" si="46">SUM(P107)</f>
        <v>579549600</v>
      </c>
      <c r="Q106" s="2102">
        <f t="shared" si="46"/>
        <v>579549600</v>
      </c>
      <c r="R106" s="2102">
        <f t="shared" si="46"/>
        <v>0</v>
      </c>
      <c r="S106" s="2102">
        <f t="shared" si="46"/>
        <v>0</v>
      </c>
      <c r="T106" s="2110">
        <f t="shared" si="44"/>
        <v>0</v>
      </c>
      <c r="U106" s="2111">
        <f t="shared" si="44"/>
        <v>0</v>
      </c>
      <c r="V106" s="453"/>
      <c r="W106" s="453"/>
      <c r="X106" s="213"/>
      <c r="Y106" s="3023" t="s">
        <v>1287</v>
      </c>
    </row>
    <row r="107" spans="1:25" ht="40.5">
      <c r="A107" s="2825"/>
      <c r="B107" s="2069"/>
      <c r="C107" s="2825"/>
      <c r="D107" s="2825"/>
      <c r="E107" s="2144" t="s">
        <v>1341</v>
      </c>
      <c r="F107" s="2097"/>
      <c r="G107" s="2121" t="s">
        <v>1337</v>
      </c>
      <c r="H107" s="2144">
        <f>M107</f>
        <v>0</v>
      </c>
      <c r="I107" s="2121" t="s">
        <v>1342</v>
      </c>
      <c r="J107" s="2121" t="s">
        <v>1343</v>
      </c>
      <c r="K107" s="2120">
        <v>7</v>
      </c>
      <c r="L107" s="2100">
        <v>1</v>
      </c>
      <c r="M107" s="417">
        <v>0</v>
      </c>
      <c r="N107" s="2101">
        <v>0</v>
      </c>
      <c r="O107" s="2825"/>
      <c r="P107" s="2102">
        <v>579549600</v>
      </c>
      <c r="Q107" s="2102">
        <v>579549600</v>
      </c>
      <c r="R107" s="2102">
        <v>0</v>
      </c>
      <c r="S107" s="2102">
        <v>0</v>
      </c>
      <c r="T107" s="2110">
        <f t="shared" si="44"/>
        <v>0</v>
      </c>
      <c r="U107" s="2111">
        <f t="shared" si="44"/>
        <v>0</v>
      </c>
      <c r="V107" s="453"/>
      <c r="W107" s="453"/>
      <c r="X107" s="213"/>
      <c r="Y107" s="2825"/>
    </row>
    <row r="108" spans="1:25">
      <c r="A108" s="3029">
        <v>4143</v>
      </c>
      <c r="B108" s="2069"/>
      <c r="C108" s="3030" t="s">
        <v>109</v>
      </c>
      <c r="D108" s="3015" t="s">
        <v>1344</v>
      </c>
      <c r="E108" s="2144" t="s">
        <v>4988</v>
      </c>
      <c r="F108" s="2097"/>
      <c r="G108" s="2097"/>
      <c r="H108" s="2097"/>
      <c r="I108" s="2098"/>
      <c r="J108" s="2098"/>
      <c r="K108" s="2098"/>
      <c r="L108" s="2100">
        <f>SUM(L109)</f>
        <v>1</v>
      </c>
      <c r="M108" s="417"/>
      <c r="N108" s="2101">
        <f>SUM(N109)</f>
        <v>0</v>
      </c>
      <c r="O108" s="2826">
        <f>IF(Q108=0,"na",N108)</f>
        <v>0</v>
      </c>
      <c r="P108" s="2102">
        <f t="shared" ref="P108:S108" si="47">SUM(P109)</f>
        <v>582409827</v>
      </c>
      <c r="Q108" s="2102">
        <f t="shared" si="47"/>
        <v>582409827</v>
      </c>
      <c r="R108" s="2102">
        <f t="shared" si="47"/>
        <v>0</v>
      </c>
      <c r="S108" s="2102">
        <f t="shared" si="47"/>
        <v>0</v>
      </c>
      <c r="T108" s="2110">
        <f t="shared" si="44"/>
        <v>0</v>
      </c>
      <c r="U108" s="2111">
        <f t="shared" si="44"/>
        <v>0</v>
      </c>
      <c r="V108" s="453"/>
      <c r="W108" s="453"/>
      <c r="X108" s="213"/>
      <c r="Y108" s="3023" t="s">
        <v>1287</v>
      </c>
    </row>
    <row r="109" spans="1:25" ht="40.5">
      <c r="A109" s="2825"/>
      <c r="B109" s="2069"/>
      <c r="C109" s="2825"/>
      <c r="D109" s="2825"/>
      <c r="E109" s="2144" t="s">
        <v>1345</v>
      </c>
      <c r="F109" s="2119"/>
      <c r="G109" s="2121" t="s">
        <v>1337</v>
      </c>
      <c r="H109" s="2144">
        <f>M109</f>
        <v>0</v>
      </c>
      <c r="I109" s="2121" t="s">
        <v>1346</v>
      </c>
      <c r="J109" s="2121" t="s">
        <v>1347</v>
      </c>
      <c r="K109" s="2120">
        <v>3</v>
      </c>
      <c r="L109" s="2100">
        <v>1</v>
      </c>
      <c r="M109" s="417">
        <v>0</v>
      </c>
      <c r="N109" s="2101">
        <v>0</v>
      </c>
      <c r="O109" s="2825"/>
      <c r="P109" s="2102">
        <v>582409827</v>
      </c>
      <c r="Q109" s="2102">
        <v>582409827</v>
      </c>
      <c r="R109" s="2102">
        <v>0</v>
      </c>
      <c r="S109" s="2102">
        <v>0</v>
      </c>
      <c r="T109" s="2110">
        <f t="shared" si="44"/>
        <v>0</v>
      </c>
      <c r="U109" s="2111">
        <f t="shared" si="44"/>
        <v>0</v>
      </c>
      <c r="V109" s="2124"/>
      <c r="W109" s="2124"/>
      <c r="X109" s="2132"/>
      <c r="Y109" s="2825"/>
    </row>
    <row r="110" spans="1:25">
      <c r="A110" s="3029">
        <v>4143</v>
      </c>
      <c r="B110" s="2069"/>
      <c r="C110" s="3030" t="s">
        <v>109</v>
      </c>
      <c r="D110" s="3015" t="s">
        <v>1348</v>
      </c>
      <c r="E110" s="2144" t="s">
        <v>4989</v>
      </c>
      <c r="F110" s="2119"/>
      <c r="G110" s="2097"/>
      <c r="H110" s="2097"/>
      <c r="I110" s="2098"/>
      <c r="J110" s="2098"/>
      <c r="K110" s="2098"/>
      <c r="L110" s="2100">
        <f>SUM(L111)</f>
        <v>1</v>
      </c>
      <c r="M110" s="417"/>
      <c r="N110" s="2101">
        <f>SUM(N111)</f>
        <v>0</v>
      </c>
      <c r="O110" s="2826">
        <f>IF(Q110=0,"na",N110)</f>
        <v>0</v>
      </c>
      <c r="P110" s="2102">
        <f t="shared" ref="P110:S110" si="48">SUM(P111)</f>
        <v>432960240</v>
      </c>
      <c r="Q110" s="2102">
        <f t="shared" si="48"/>
        <v>432960240</v>
      </c>
      <c r="R110" s="2102">
        <f t="shared" si="48"/>
        <v>0</v>
      </c>
      <c r="S110" s="2102">
        <f t="shared" si="48"/>
        <v>0</v>
      </c>
      <c r="T110" s="2110">
        <f t="shared" si="44"/>
        <v>0</v>
      </c>
      <c r="U110" s="2111">
        <f t="shared" si="44"/>
        <v>0</v>
      </c>
      <c r="V110" s="453"/>
      <c r="W110" s="453"/>
      <c r="X110" s="213"/>
      <c r="Y110" s="3023" t="s">
        <v>1287</v>
      </c>
    </row>
    <row r="111" spans="1:25" ht="54">
      <c r="A111" s="2825"/>
      <c r="B111" s="2069"/>
      <c r="C111" s="2825"/>
      <c r="D111" s="2825"/>
      <c r="E111" s="2144" t="s">
        <v>1349</v>
      </c>
      <c r="F111" s="2119"/>
      <c r="G111" s="2121" t="s">
        <v>1337</v>
      </c>
      <c r="H111" s="2144">
        <f>M111</f>
        <v>0</v>
      </c>
      <c r="I111" s="2121" t="s">
        <v>1350</v>
      </c>
      <c r="J111" s="2121" t="s">
        <v>1339</v>
      </c>
      <c r="K111" s="2120">
        <v>2</v>
      </c>
      <c r="L111" s="2100">
        <v>1</v>
      </c>
      <c r="M111" s="417">
        <v>0</v>
      </c>
      <c r="N111" s="2101">
        <v>0</v>
      </c>
      <c r="O111" s="2825"/>
      <c r="P111" s="2102">
        <v>432960240</v>
      </c>
      <c r="Q111" s="2102">
        <v>432960240</v>
      </c>
      <c r="R111" s="2102">
        <v>0</v>
      </c>
      <c r="S111" s="2102">
        <v>0</v>
      </c>
      <c r="T111" s="2110">
        <f t="shared" si="44"/>
        <v>0</v>
      </c>
      <c r="U111" s="2111">
        <f t="shared" si="44"/>
        <v>0</v>
      </c>
      <c r="V111" s="453"/>
      <c r="W111" s="453"/>
      <c r="X111" s="2156"/>
      <c r="Y111" s="2825"/>
    </row>
    <row r="112" spans="1:25">
      <c r="A112" s="3029">
        <v>4143</v>
      </c>
      <c r="B112" s="2069"/>
      <c r="C112" s="3030" t="s">
        <v>109</v>
      </c>
      <c r="D112" s="3015" t="s">
        <v>1351</v>
      </c>
      <c r="E112" s="2144" t="s">
        <v>4990</v>
      </c>
      <c r="F112" s="2119"/>
      <c r="G112" s="2097"/>
      <c r="H112" s="2119"/>
      <c r="I112" s="2098"/>
      <c r="J112" s="2098"/>
      <c r="K112" s="2098"/>
      <c r="L112" s="2100">
        <f>L113</f>
        <v>1</v>
      </c>
      <c r="M112" s="897"/>
      <c r="N112" s="2101">
        <f>SUM(N113)</f>
        <v>0</v>
      </c>
      <c r="O112" s="2826">
        <f>IF(Q112=0,"na",N112)</f>
        <v>0</v>
      </c>
      <c r="P112" s="2102">
        <f t="shared" ref="P112:S112" si="49">SUM(P113)</f>
        <v>246983755</v>
      </c>
      <c r="Q112" s="2102">
        <f t="shared" si="49"/>
        <v>246983755</v>
      </c>
      <c r="R112" s="2102">
        <f t="shared" si="49"/>
        <v>0</v>
      </c>
      <c r="S112" s="2102">
        <f t="shared" si="49"/>
        <v>0</v>
      </c>
      <c r="T112" s="2110">
        <f t="shared" si="44"/>
        <v>0</v>
      </c>
      <c r="U112" s="2111">
        <f t="shared" si="44"/>
        <v>0</v>
      </c>
      <c r="V112" s="453"/>
      <c r="W112" s="453"/>
      <c r="X112" s="2168"/>
      <c r="Y112" s="3023" t="s">
        <v>1287</v>
      </c>
    </row>
    <row r="113" spans="1:25" ht="40.5">
      <c r="A113" s="2825"/>
      <c r="B113" s="2069"/>
      <c r="C113" s="2825"/>
      <c r="D113" s="2825"/>
      <c r="E113" s="2144" t="s">
        <v>1352</v>
      </c>
      <c r="F113" s="2097"/>
      <c r="G113" s="2121" t="s">
        <v>1337</v>
      </c>
      <c r="H113" s="2144">
        <f>M113</f>
        <v>0</v>
      </c>
      <c r="I113" s="2121" t="s">
        <v>1353</v>
      </c>
      <c r="J113" s="2121" t="s">
        <v>1339</v>
      </c>
      <c r="K113" s="2120">
        <v>2</v>
      </c>
      <c r="L113" s="2100">
        <v>1</v>
      </c>
      <c r="M113" s="417">
        <v>0</v>
      </c>
      <c r="N113" s="2101">
        <v>0</v>
      </c>
      <c r="O113" s="2825"/>
      <c r="P113" s="2102">
        <v>246983755</v>
      </c>
      <c r="Q113" s="2102">
        <v>246983755</v>
      </c>
      <c r="R113" s="2102">
        <v>0</v>
      </c>
      <c r="S113" s="2102">
        <v>0</v>
      </c>
      <c r="T113" s="2110">
        <f t="shared" si="44"/>
        <v>0</v>
      </c>
      <c r="U113" s="2111">
        <f t="shared" si="44"/>
        <v>0</v>
      </c>
      <c r="V113" s="453"/>
      <c r="W113" s="453"/>
      <c r="X113" s="213"/>
      <c r="Y113" s="2825"/>
    </row>
    <row r="114" spans="1:25">
      <c r="A114" s="3029">
        <v>4143</v>
      </c>
      <c r="B114" s="2069"/>
      <c r="C114" s="3030" t="s">
        <v>109</v>
      </c>
      <c r="D114" s="3015" t="s">
        <v>1354</v>
      </c>
      <c r="E114" s="2144" t="s">
        <v>4991</v>
      </c>
      <c r="F114" s="2097"/>
      <c r="G114" s="2097"/>
      <c r="H114" s="2119"/>
      <c r="I114" s="2098"/>
      <c r="J114" s="2098"/>
      <c r="K114" s="2098"/>
      <c r="L114" s="2100">
        <f>L115</f>
        <v>1</v>
      </c>
      <c r="M114" s="417"/>
      <c r="N114" s="2101">
        <f>SUM(N115)</f>
        <v>0</v>
      </c>
      <c r="O114" s="2826">
        <f>IF(Q114=0,"na",N114)</f>
        <v>0</v>
      </c>
      <c r="P114" s="2102">
        <f t="shared" ref="P114:S114" si="50">SUM(P115)</f>
        <v>858450473</v>
      </c>
      <c r="Q114" s="2102">
        <f t="shared" si="50"/>
        <v>858450473</v>
      </c>
      <c r="R114" s="2102">
        <f t="shared" si="50"/>
        <v>0</v>
      </c>
      <c r="S114" s="2102">
        <f t="shared" si="50"/>
        <v>0</v>
      </c>
      <c r="T114" s="2110">
        <f t="shared" si="44"/>
        <v>0</v>
      </c>
      <c r="U114" s="2111">
        <f t="shared" si="44"/>
        <v>0</v>
      </c>
      <c r="V114" s="453"/>
      <c r="W114" s="453"/>
      <c r="X114" s="213"/>
      <c r="Y114" s="3023" t="s">
        <v>1287</v>
      </c>
    </row>
    <row r="115" spans="1:25" ht="40.5">
      <c r="A115" s="2825"/>
      <c r="B115" s="2069"/>
      <c r="C115" s="2825"/>
      <c r="D115" s="2825"/>
      <c r="E115" s="2144" t="s">
        <v>1355</v>
      </c>
      <c r="F115" s="2097"/>
      <c r="G115" s="2121" t="s">
        <v>1337</v>
      </c>
      <c r="H115" s="2144">
        <f>M115</f>
        <v>0</v>
      </c>
      <c r="I115" s="2121" t="s">
        <v>1356</v>
      </c>
      <c r="J115" s="2121" t="s">
        <v>1339</v>
      </c>
      <c r="K115" s="2120">
        <v>3</v>
      </c>
      <c r="L115" s="2100">
        <v>1</v>
      </c>
      <c r="M115" s="417">
        <v>0</v>
      </c>
      <c r="N115" s="2101">
        <v>0</v>
      </c>
      <c r="O115" s="2825"/>
      <c r="P115" s="2102">
        <v>858450473</v>
      </c>
      <c r="Q115" s="2102">
        <v>858450473</v>
      </c>
      <c r="R115" s="2102">
        <v>0</v>
      </c>
      <c r="S115" s="2102">
        <v>0</v>
      </c>
      <c r="T115" s="2110">
        <f t="shared" si="44"/>
        <v>0</v>
      </c>
      <c r="U115" s="2111">
        <f t="shared" si="44"/>
        <v>0</v>
      </c>
      <c r="V115" s="453"/>
      <c r="W115" s="453"/>
      <c r="X115" s="213"/>
      <c r="Y115" s="2825"/>
    </row>
    <row r="116" spans="1:25">
      <c r="A116" s="3029">
        <v>4143</v>
      </c>
      <c r="B116" s="2069"/>
      <c r="C116" s="3030" t="s">
        <v>109</v>
      </c>
      <c r="D116" s="3015" t="s">
        <v>1357</v>
      </c>
      <c r="E116" s="2144" t="s">
        <v>4992</v>
      </c>
      <c r="F116" s="2097"/>
      <c r="G116" s="2097"/>
      <c r="H116" s="2097"/>
      <c r="I116" s="2098"/>
      <c r="J116" s="2098"/>
      <c r="K116" s="2098"/>
      <c r="L116" s="2100">
        <f>L117</f>
        <v>1</v>
      </c>
      <c r="M116" s="417"/>
      <c r="N116" s="2101">
        <f>SUM(N117)</f>
        <v>0</v>
      </c>
      <c r="O116" s="2826">
        <f>IF(Q116=0,"na",N116)</f>
        <v>0</v>
      </c>
      <c r="P116" s="2102">
        <f t="shared" ref="P116:S116" si="51">SUM(P117)</f>
        <v>536874626</v>
      </c>
      <c r="Q116" s="2102">
        <f t="shared" si="51"/>
        <v>536874626</v>
      </c>
      <c r="R116" s="2102">
        <f t="shared" si="51"/>
        <v>0</v>
      </c>
      <c r="S116" s="2102">
        <f t="shared" si="51"/>
        <v>0</v>
      </c>
      <c r="T116" s="2110">
        <f t="shared" si="44"/>
        <v>0</v>
      </c>
      <c r="U116" s="2111">
        <f t="shared" si="44"/>
        <v>0</v>
      </c>
      <c r="V116" s="453"/>
      <c r="W116" s="453"/>
      <c r="X116" s="213"/>
      <c r="Y116" s="3023" t="s">
        <v>1287</v>
      </c>
    </row>
    <row r="117" spans="1:25" ht="40.5">
      <c r="A117" s="2825"/>
      <c r="B117" s="2069"/>
      <c r="C117" s="2825"/>
      <c r="D117" s="2825"/>
      <c r="E117" s="2144" t="s">
        <v>1358</v>
      </c>
      <c r="F117" s="2097"/>
      <c r="G117" s="2121" t="s">
        <v>1337</v>
      </c>
      <c r="H117" s="2144">
        <f>M117</f>
        <v>0</v>
      </c>
      <c r="I117" s="2121" t="s">
        <v>1359</v>
      </c>
      <c r="J117" s="2121" t="s">
        <v>1339</v>
      </c>
      <c r="K117" s="2120">
        <v>5</v>
      </c>
      <c r="L117" s="2100">
        <v>1</v>
      </c>
      <c r="M117" s="2171">
        <v>0</v>
      </c>
      <c r="N117" s="2101">
        <v>0</v>
      </c>
      <c r="O117" s="2825"/>
      <c r="P117" s="2102">
        <v>536874626</v>
      </c>
      <c r="Q117" s="2102">
        <v>536874626</v>
      </c>
      <c r="R117" s="2102">
        <v>0</v>
      </c>
      <c r="S117" s="2102">
        <v>0</v>
      </c>
      <c r="T117" s="2110">
        <f t="shared" si="44"/>
        <v>0</v>
      </c>
      <c r="U117" s="2111">
        <f t="shared" si="44"/>
        <v>0</v>
      </c>
      <c r="V117" s="453"/>
      <c r="W117" s="453"/>
      <c r="X117" s="213"/>
      <c r="Y117" s="2825"/>
    </row>
    <row r="118" spans="1:25">
      <c r="A118" s="3029">
        <v>4143</v>
      </c>
      <c r="B118" s="2069"/>
      <c r="C118" s="3030" t="s">
        <v>109</v>
      </c>
      <c r="D118" s="3015" t="s">
        <v>1360</v>
      </c>
      <c r="E118" s="2144" t="s">
        <v>4993</v>
      </c>
      <c r="F118" s="2097"/>
      <c r="G118" s="2097"/>
      <c r="H118" s="2119"/>
      <c r="I118" s="2098"/>
      <c r="J118" s="2098"/>
      <c r="K118" s="2098"/>
      <c r="L118" s="2100">
        <f>L119</f>
        <v>1</v>
      </c>
      <c r="M118" s="417"/>
      <c r="N118" s="2101">
        <f>SUM(N119)</f>
        <v>0</v>
      </c>
      <c r="O118" s="2826">
        <f>IF(Q118=0,"na",N118)</f>
        <v>0</v>
      </c>
      <c r="P118" s="2102">
        <f t="shared" ref="P118:S118" si="52">SUM(P119)</f>
        <v>105500800</v>
      </c>
      <c r="Q118" s="2102">
        <f t="shared" si="52"/>
        <v>105500800</v>
      </c>
      <c r="R118" s="2102">
        <f t="shared" si="52"/>
        <v>0</v>
      </c>
      <c r="S118" s="2102">
        <f t="shared" si="52"/>
        <v>0</v>
      </c>
      <c r="T118" s="2110">
        <f t="shared" si="44"/>
        <v>0</v>
      </c>
      <c r="U118" s="2111">
        <f t="shared" si="44"/>
        <v>0</v>
      </c>
      <c r="V118" s="453"/>
      <c r="W118" s="453"/>
      <c r="X118" s="2172"/>
      <c r="Y118" s="3023" t="s">
        <v>1287</v>
      </c>
    </row>
    <row r="119" spans="1:25" ht="27">
      <c r="A119" s="2825"/>
      <c r="B119" s="2069"/>
      <c r="C119" s="2825"/>
      <c r="D119" s="2825"/>
      <c r="E119" s="2144" t="s">
        <v>1361</v>
      </c>
      <c r="F119" s="2097"/>
      <c r="G119" s="2121" t="s">
        <v>1337</v>
      </c>
      <c r="H119" s="2144">
        <f>M119</f>
        <v>0</v>
      </c>
      <c r="I119" s="2121" t="s">
        <v>1362</v>
      </c>
      <c r="J119" s="2121" t="s">
        <v>1363</v>
      </c>
      <c r="K119" s="2173">
        <v>4</v>
      </c>
      <c r="L119" s="2100">
        <v>1</v>
      </c>
      <c r="M119" s="417">
        <v>0</v>
      </c>
      <c r="N119" s="2101">
        <v>0</v>
      </c>
      <c r="O119" s="2825"/>
      <c r="P119" s="2102">
        <v>105500800</v>
      </c>
      <c r="Q119" s="2102">
        <v>105500800</v>
      </c>
      <c r="R119" s="2102">
        <v>0</v>
      </c>
      <c r="S119" s="2102">
        <v>0</v>
      </c>
      <c r="T119" s="2110">
        <f t="shared" ref="T119:U119" si="53">IF(Q119=0,0,R119/Q119)</f>
        <v>0</v>
      </c>
      <c r="U119" s="2111">
        <f t="shared" si="53"/>
        <v>0</v>
      </c>
      <c r="V119" s="453"/>
      <c r="W119" s="453"/>
      <c r="X119" s="213"/>
      <c r="Y119" s="2825"/>
    </row>
    <row r="120" spans="1:25" ht="25.5">
      <c r="A120" s="2066"/>
      <c r="B120" s="2152">
        <v>52040010006</v>
      </c>
      <c r="C120" s="2152" t="s">
        <v>103</v>
      </c>
      <c r="D120" s="2153" t="s">
        <v>1364</v>
      </c>
      <c r="E120" s="2174"/>
      <c r="F120" s="2175">
        <v>1</v>
      </c>
      <c r="G120" s="2154"/>
      <c r="H120" s="2154"/>
      <c r="I120" s="2069"/>
      <c r="J120" s="2069"/>
      <c r="K120" s="2069"/>
      <c r="L120" s="2070"/>
      <c r="M120" s="417"/>
      <c r="N120" s="2101"/>
      <c r="O120" s="2139"/>
      <c r="P120" s="2102"/>
      <c r="Q120" s="2102"/>
      <c r="R120" s="2102"/>
      <c r="S120" s="2102"/>
      <c r="T120" s="2101"/>
      <c r="U120" s="2101"/>
      <c r="V120" s="2176"/>
      <c r="W120" s="2176"/>
      <c r="X120" s="2177"/>
      <c r="Y120" s="2126"/>
    </row>
    <row r="121" spans="1:25">
      <c r="A121" s="3014">
        <v>4143</v>
      </c>
      <c r="B121" s="2178"/>
      <c r="C121" s="3016" t="s">
        <v>109</v>
      </c>
      <c r="D121" s="3015" t="s">
        <v>1365</v>
      </c>
      <c r="E121" s="2179" t="s">
        <v>4994</v>
      </c>
      <c r="F121" s="2180"/>
      <c r="G121" s="2180"/>
      <c r="H121" s="2180"/>
      <c r="I121" s="2181"/>
      <c r="J121" s="2181"/>
      <c r="K121" s="2181"/>
      <c r="L121" s="2182">
        <f>SUM(L122:L123)</f>
        <v>1</v>
      </c>
      <c r="M121" s="424"/>
      <c r="N121" s="2183">
        <f>SUM(N122:N123)</f>
        <v>0.47699999999999998</v>
      </c>
      <c r="O121" s="2826">
        <f>IF(Q121=0,"na",N121)</f>
        <v>0.47699999999999998</v>
      </c>
      <c r="P121" s="2184">
        <f t="shared" ref="P121:S121" si="54">SUM(P122:P123)</f>
        <v>75699999999</v>
      </c>
      <c r="Q121" s="2184">
        <f t="shared" si="54"/>
        <v>125999999999</v>
      </c>
      <c r="R121" s="2184">
        <f t="shared" si="54"/>
        <v>117168218570</v>
      </c>
      <c r="S121" s="2184">
        <f t="shared" si="54"/>
        <v>33746681362</v>
      </c>
      <c r="T121" s="2185">
        <f t="shared" ref="T121:U123" si="55">IF(Q121=0,0,R121/Q121)</f>
        <v>0.92990649659468183</v>
      </c>
      <c r="U121" s="2186">
        <f t="shared" si="55"/>
        <v>0.28801907013580363</v>
      </c>
      <c r="V121" s="2112"/>
      <c r="W121" s="2112"/>
      <c r="X121" s="1214"/>
      <c r="Y121" s="3026" t="s">
        <v>1199</v>
      </c>
    </row>
    <row r="122" spans="1:25" ht="67.5">
      <c r="A122" s="2824"/>
      <c r="B122" s="2187"/>
      <c r="C122" s="2824"/>
      <c r="D122" s="2824"/>
      <c r="E122" s="326" t="s">
        <v>1366</v>
      </c>
      <c r="F122" s="2105"/>
      <c r="G122" s="2106" t="s">
        <v>1367</v>
      </c>
      <c r="H122" s="2188">
        <v>1</v>
      </c>
      <c r="I122" s="2106" t="s">
        <v>1368</v>
      </c>
      <c r="J122" s="2106" t="s">
        <v>1369</v>
      </c>
      <c r="K122" s="2138">
        <v>22051710</v>
      </c>
      <c r="L122" s="2108">
        <v>0.8</v>
      </c>
      <c r="M122" s="2138">
        <v>13527503</v>
      </c>
      <c r="N122" s="2101">
        <v>0.42299999999999999</v>
      </c>
      <c r="O122" s="2824"/>
      <c r="P122" s="2102">
        <v>73032618975</v>
      </c>
      <c r="Q122" s="2102">
        <v>118310718739</v>
      </c>
      <c r="R122" s="2102">
        <v>116178997970</v>
      </c>
      <c r="S122" s="2102">
        <v>33203561362</v>
      </c>
      <c r="T122" s="2110">
        <f t="shared" si="55"/>
        <v>0.98198201488655734</v>
      </c>
      <c r="U122" s="2111">
        <f t="shared" si="55"/>
        <v>0.28579658924734314</v>
      </c>
      <c r="V122" s="453">
        <v>45320</v>
      </c>
      <c r="W122" s="453">
        <v>45634</v>
      </c>
      <c r="X122" s="213" t="s">
        <v>4995</v>
      </c>
      <c r="Y122" s="2824"/>
    </row>
    <row r="123" spans="1:25" ht="40.5">
      <c r="A123" s="2825"/>
      <c r="B123" s="2187"/>
      <c r="C123" s="2825"/>
      <c r="D123" s="2825"/>
      <c r="E123" s="326" t="s">
        <v>1370</v>
      </c>
      <c r="F123" s="2105"/>
      <c r="G123" s="2105"/>
      <c r="H123" s="2105"/>
      <c r="I123" s="2106" t="s">
        <v>1371</v>
      </c>
      <c r="J123" s="2106" t="s">
        <v>1372</v>
      </c>
      <c r="K123" s="2138">
        <v>92</v>
      </c>
      <c r="L123" s="2108">
        <v>0.2</v>
      </c>
      <c r="M123" s="2138">
        <v>50</v>
      </c>
      <c r="N123" s="2101">
        <v>5.3999999999999999E-2</v>
      </c>
      <c r="O123" s="2825"/>
      <c r="P123" s="2102">
        <v>2667381024</v>
      </c>
      <c r="Q123" s="2102">
        <v>7689281260</v>
      </c>
      <c r="R123" s="2102">
        <v>989220600</v>
      </c>
      <c r="S123" s="2102">
        <v>543120000</v>
      </c>
      <c r="T123" s="2110">
        <f t="shared" si="55"/>
        <v>0.12864929328908434</v>
      </c>
      <c r="U123" s="2111">
        <f t="shared" si="55"/>
        <v>0.54903830348862526</v>
      </c>
      <c r="V123" s="453">
        <v>45320</v>
      </c>
      <c r="W123" s="453">
        <v>45634</v>
      </c>
      <c r="X123" s="213" t="s">
        <v>4996</v>
      </c>
      <c r="Y123" s="2825"/>
    </row>
    <row r="124" spans="1:25">
      <c r="A124" s="2066"/>
      <c r="B124" s="2118">
        <v>5204002</v>
      </c>
      <c r="C124" s="2118" t="s">
        <v>102</v>
      </c>
      <c r="D124" s="2082" t="s">
        <v>1373</v>
      </c>
      <c r="E124" s="2097"/>
      <c r="F124" s="2097"/>
      <c r="G124" s="2097"/>
      <c r="H124" s="2097"/>
      <c r="I124" s="2097"/>
      <c r="J124" s="2097"/>
      <c r="K124" s="2097"/>
      <c r="L124" s="2114"/>
      <c r="M124" s="417"/>
      <c r="N124" s="2101"/>
      <c r="O124" s="1213"/>
      <c r="P124" s="2102"/>
      <c r="Q124" s="2102"/>
      <c r="R124" s="2102"/>
      <c r="S124" s="2102"/>
      <c r="T124" s="2101"/>
      <c r="U124" s="2101"/>
      <c r="V124" s="453"/>
      <c r="W124" s="453"/>
      <c r="X124" s="213"/>
      <c r="Y124" s="2126"/>
    </row>
    <row r="125" spans="1:25" ht="38.25">
      <c r="A125" s="2066"/>
      <c r="B125" s="2189">
        <v>52040020002</v>
      </c>
      <c r="C125" s="2189" t="s">
        <v>103</v>
      </c>
      <c r="D125" s="212" t="s">
        <v>1374</v>
      </c>
      <c r="E125" s="2154"/>
      <c r="F125" s="2152">
        <v>0</v>
      </c>
      <c r="G125" s="2154"/>
      <c r="H125" s="2152">
        <f>SUM(H126:H129)</f>
        <v>0</v>
      </c>
      <c r="I125" s="2069"/>
      <c r="J125" s="2069"/>
      <c r="K125" s="2069"/>
      <c r="L125" s="2070"/>
      <c r="M125" s="417"/>
      <c r="N125" s="2101"/>
      <c r="O125" s="2151"/>
      <c r="P125" s="2102"/>
      <c r="Q125" s="2102"/>
      <c r="R125" s="2102"/>
      <c r="S125" s="2102"/>
      <c r="T125" s="2101"/>
      <c r="U125" s="2101"/>
      <c r="V125" s="453"/>
      <c r="W125" s="453"/>
      <c r="X125" s="213"/>
      <c r="Y125" s="2126"/>
    </row>
    <row r="126" spans="1:25">
      <c r="A126" s="3014">
        <v>4143</v>
      </c>
      <c r="B126" s="2069"/>
      <c r="C126" s="3016" t="s">
        <v>109</v>
      </c>
      <c r="D126" s="3015" t="s">
        <v>1375</v>
      </c>
      <c r="E126" s="2122" t="s">
        <v>4997</v>
      </c>
      <c r="F126" s="2097"/>
      <c r="G126" s="2097"/>
      <c r="H126" s="2097"/>
      <c r="I126" s="2098"/>
      <c r="J126" s="2098"/>
      <c r="K126" s="2120">
        <f>K127</f>
        <v>213</v>
      </c>
      <c r="L126" s="2100">
        <f>SUM(L127)</f>
        <v>1</v>
      </c>
      <c r="M126" s="417"/>
      <c r="N126" s="2101">
        <f>SUM(N127)</f>
        <v>0</v>
      </c>
      <c r="O126" s="2826">
        <f>IF(Q126=0,"na",N126)</f>
        <v>0</v>
      </c>
      <c r="P126" s="2102">
        <f t="shared" ref="P126:S126" si="56">SUM(P127)</f>
        <v>1000000000</v>
      </c>
      <c r="Q126" s="2102">
        <f t="shared" si="56"/>
        <v>1000000000</v>
      </c>
      <c r="R126" s="2102">
        <f t="shared" si="56"/>
        <v>0</v>
      </c>
      <c r="S126" s="2102">
        <f t="shared" si="56"/>
        <v>0</v>
      </c>
      <c r="T126" s="2110">
        <f t="shared" ref="T126:U129" si="57">IF(Q126=0,0,R126/Q126)</f>
        <v>0</v>
      </c>
      <c r="U126" s="2111">
        <f t="shared" si="57"/>
        <v>0</v>
      </c>
      <c r="V126" s="453"/>
      <c r="W126" s="453"/>
      <c r="X126" s="213"/>
      <c r="Y126" s="3023" t="s">
        <v>1182</v>
      </c>
    </row>
    <row r="127" spans="1:25" ht="54">
      <c r="A127" s="2825"/>
      <c r="B127" s="2069"/>
      <c r="C127" s="2825"/>
      <c r="D127" s="2825"/>
      <c r="E127" s="2122" t="s">
        <v>1376</v>
      </c>
      <c r="F127" s="2097"/>
      <c r="G127" s="2121" t="s">
        <v>1377</v>
      </c>
      <c r="H127" s="2122">
        <f>M127</f>
        <v>0</v>
      </c>
      <c r="I127" s="2121" t="s">
        <v>1378</v>
      </c>
      <c r="J127" s="2121" t="s">
        <v>1379</v>
      </c>
      <c r="K127" s="2120">
        <v>213</v>
      </c>
      <c r="L127" s="2190">
        <v>1</v>
      </c>
      <c r="M127" s="417">
        <v>0</v>
      </c>
      <c r="N127" s="2101">
        <v>0</v>
      </c>
      <c r="O127" s="2825"/>
      <c r="P127" s="2102">
        <v>1000000000</v>
      </c>
      <c r="Q127" s="2102">
        <v>1000000000</v>
      </c>
      <c r="R127" s="2102">
        <v>0</v>
      </c>
      <c r="S127" s="2102">
        <v>0</v>
      </c>
      <c r="T127" s="2110">
        <f t="shared" si="57"/>
        <v>0</v>
      </c>
      <c r="U127" s="2111">
        <f t="shared" si="57"/>
        <v>0</v>
      </c>
      <c r="V127" s="453"/>
      <c r="W127" s="453"/>
      <c r="X127" s="213"/>
      <c r="Y127" s="2825"/>
    </row>
    <row r="128" spans="1:25">
      <c r="A128" s="3014">
        <v>4143</v>
      </c>
      <c r="B128" s="2069"/>
      <c r="C128" s="3016" t="s">
        <v>109</v>
      </c>
      <c r="D128" s="3015" t="s">
        <v>1380</v>
      </c>
      <c r="E128" s="2122" t="s">
        <v>4998</v>
      </c>
      <c r="F128" s="2097"/>
      <c r="G128" s="2097"/>
      <c r="H128" s="2097"/>
      <c r="I128" s="2098"/>
      <c r="J128" s="2098"/>
      <c r="K128" s="2120">
        <f t="shared" ref="K128:L128" si="58">K129</f>
        <v>1000</v>
      </c>
      <c r="L128" s="2190">
        <f t="shared" si="58"/>
        <v>1</v>
      </c>
      <c r="M128" s="417"/>
      <c r="N128" s="2101">
        <f>SUM(N129)</f>
        <v>0</v>
      </c>
      <c r="O128" s="2826">
        <f>IF(Q128=0,"na",N128)</f>
        <v>0</v>
      </c>
      <c r="P128" s="2102">
        <f t="shared" ref="P128:S128" si="59">SUM(P129)</f>
        <v>8171731901</v>
      </c>
      <c r="Q128" s="2102">
        <f t="shared" si="59"/>
        <v>8171731901</v>
      </c>
      <c r="R128" s="2102">
        <f t="shared" si="59"/>
        <v>0</v>
      </c>
      <c r="S128" s="2102">
        <f t="shared" si="59"/>
        <v>0</v>
      </c>
      <c r="T128" s="2110">
        <f t="shared" si="57"/>
        <v>0</v>
      </c>
      <c r="U128" s="2111">
        <f t="shared" si="57"/>
        <v>0</v>
      </c>
      <c r="V128" s="453"/>
      <c r="W128" s="453"/>
      <c r="X128" s="213"/>
      <c r="Y128" s="3023" t="s">
        <v>1182</v>
      </c>
    </row>
    <row r="129" spans="1:25" ht="67.5">
      <c r="A129" s="2825"/>
      <c r="B129" s="2069"/>
      <c r="C129" s="2825"/>
      <c r="D129" s="2825"/>
      <c r="E129" s="2166" t="s">
        <v>1381</v>
      </c>
      <c r="F129" s="2119"/>
      <c r="G129" s="2131" t="s">
        <v>1382</v>
      </c>
      <c r="H129" s="2122">
        <f>M129</f>
        <v>0</v>
      </c>
      <c r="I129" s="2131" t="s">
        <v>1383</v>
      </c>
      <c r="J129" s="2131" t="s">
        <v>1384</v>
      </c>
      <c r="K129" s="2120">
        <v>1000</v>
      </c>
      <c r="L129" s="2100">
        <v>1</v>
      </c>
      <c r="M129" s="417">
        <v>0</v>
      </c>
      <c r="N129" s="2101">
        <v>0</v>
      </c>
      <c r="O129" s="2825"/>
      <c r="P129" s="2102">
        <v>8171731901</v>
      </c>
      <c r="Q129" s="2102">
        <v>8171731901</v>
      </c>
      <c r="R129" s="2102">
        <v>0</v>
      </c>
      <c r="S129" s="2102">
        <v>0</v>
      </c>
      <c r="T129" s="2110">
        <f t="shared" si="57"/>
        <v>0</v>
      </c>
      <c r="U129" s="2111">
        <f t="shared" si="57"/>
        <v>0</v>
      </c>
      <c r="V129" s="453"/>
      <c r="W129" s="453"/>
      <c r="X129" s="213"/>
      <c r="Y129" s="2825"/>
    </row>
    <row r="130" spans="1:25">
      <c r="A130" s="2066"/>
      <c r="B130" s="2118">
        <v>5204003</v>
      </c>
      <c r="C130" s="2118" t="s">
        <v>102</v>
      </c>
      <c r="D130" s="2082" t="s">
        <v>1385</v>
      </c>
      <c r="E130" s="2129"/>
      <c r="F130" s="2129"/>
      <c r="G130" s="2069"/>
      <c r="H130" s="2069"/>
      <c r="I130" s="2069"/>
      <c r="J130" s="2069"/>
      <c r="K130" s="2069"/>
      <c r="L130" s="2070"/>
      <c r="M130" s="417"/>
      <c r="N130" s="2101"/>
      <c r="O130" s="2151"/>
      <c r="P130" s="2102"/>
      <c r="Q130" s="2102"/>
      <c r="R130" s="2102"/>
      <c r="S130" s="2102"/>
      <c r="T130" s="2101"/>
      <c r="U130" s="2101"/>
      <c r="V130" s="453"/>
      <c r="W130" s="453"/>
      <c r="X130" s="213"/>
      <c r="Y130" s="2126"/>
    </row>
    <row r="131" spans="1:25" ht="38.25">
      <c r="A131" s="2066"/>
      <c r="B131" s="2152">
        <v>52040030003</v>
      </c>
      <c r="C131" s="2152" t="s">
        <v>103</v>
      </c>
      <c r="D131" s="2153" t="s">
        <v>1386</v>
      </c>
      <c r="E131" s="2167"/>
      <c r="F131" s="2191">
        <v>46</v>
      </c>
      <c r="G131" s="2154"/>
      <c r="H131" s="2167"/>
      <c r="I131" s="2069"/>
      <c r="J131" s="2069"/>
      <c r="K131" s="2069"/>
      <c r="L131" s="2070"/>
      <c r="M131" s="417"/>
      <c r="N131" s="2101"/>
      <c r="O131" s="421"/>
      <c r="P131" s="2115"/>
      <c r="Q131" s="2192"/>
      <c r="R131" s="2193"/>
      <c r="S131" s="2115"/>
      <c r="T131" s="2101"/>
      <c r="U131" s="2101"/>
      <c r="V131" s="453"/>
      <c r="W131" s="453"/>
      <c r="X131" s="213"/>
      <c r="Y131" s="2126"/>
    </row>
    <row r="132" spans="1:25">
      <c r="A132" s="3014">
        <v>4143</v>
      </c>
      <c r="B132" s="2069"/>
      <c r="C132" s="3016" t="s">
        <v>109</v>
      </c>
      <c r="D132" s="3015" t="s">
        <v>1387</v>
      </c>
      <c r="E132" s="2122" t="s">
        <v>4999</v>
      </c>
      <c r="F132" s="2097"/>
      <c r="G132" s="2097"/>
      <c r="H132" s="2194">
        <f>SUM(H133:H135)</f>
        <v>0</v>
      </c>
      <c r="I132" s="2098"/>
      <c r="J132" s="2098"/>
      <c r="K132" s="2120">
        <f>K134</f>
        <v>92</v>
      </c>
      <c r="L132" s="2100">
        <f>SUM(L133:L135)</f>
        <v>1</v>
      </c>
      <c r="M132" s="417"/>
      <c r="N132" s="2101">
        <f>SUM(N133:N135)</f>
        <v>0</v>
      </c>
      <c r="O132" s="2826">
        <f>IF(Q132=0,"na",N132)</f>
        <v>0</v>
      </c>
      <c r="P132" s="2102">
        <f t="shared" ref="P132:S132" si="60">SUM(P133:P135)</f>
        <v>613588000</v>
      </c>
      <c r="Q132" s="2102">
        <f t="shared" si="60"/>
        <v>613588000</v>
      </c>
      <c r="R132" s="2102">
        <f t="shared" si="60"/>
        <v>0</v>
      </c>
      <c r="S132" s="2102">
        <f t="shared" si="60"/>
        <v>0</v>
      </c>
      <c r="T132" s="2110">
        <f t="shared" ref="T132:U135" si="61">IF(Q132=0,0,R132/Q132)</f>
        <v>0</v>
      </c>
      <c r="U132" s="2111">
        <f t="shared" si="61"/>
        <v>0</v>
      </c>
      <c r="V132" s="453"/>
      <c r="W132" s="453"/>
      <c r="X132" s="213"/>
      <c r="Y132" s="3023" t="s">
        <v>1182</v>
      </c>
    </row>
    <row r="133" spans="1:25" ht="27">
      <c r="A133" s="2824"/>
      <c r="B133" s="2069"/>
      <c r="C133" s="2824"/>
      <c r="D133" s="2824"/>
      <c r="E133" s="2122" t="s">
        <v>1388</v>
      </c>
      <c r="F133" s="2097"/>
      <c r="G133" s="2097"/>
      <c r="H133" s="2119"/>
      <c r="I133" s="2121" t="s">
        <v>1389</v>
      </c>
      <c r="J133" s="2121" t="s">
        <v>1390</v>
      </c>
      <c r="K133" s="2120">
        <v>0</v>
      </c>
      <c r="L133" s="2100">
        <v>0</v>
      </c>
      <c r="M133" s="417">
        <v>0</v>
      </c>
      <c r="N133" s="2101">
        <v>0</v>
      </c>
      <c r="O133" s="2824"/>
      <c r="P133" s="2102">
        <v>178326000</v>
      </c>
      <c r="Q133" s="2102">
        <v>0</v>
      </c>
      <c r="R133" s="2102">
        <v>0</v>
      </c>
      <c r="S133" s="2102">
        <v>0</v>
      </c>
      <c r="T133" s="2110">
        <f t="shared" si="61"/>
        <v>0</v>
      </c>
      <c r="U133" s="2111">
        <f t="shared" si="61"/>
        <v>0</v>
      </c>
      <c r="V133" s="453"/>
      <c r="W133" s="453"/>
      <c r="X133" s="213"/>
      <c r="Y133" s="2824"/>
    </row>
    <row r="134" spans="1:25" ht="67.5">
      <c r="A134" s="2824"/>
      <c r="B134" s="2069"/>
      <c r="C134" s="2824"/>
      <c r="D134" s="2824"/>
      <c r="E134" s="2122" t="s">
        <v>1391</v>
      </c>
      <c r="F134" s="2097"/>
      <c r="G134" s="2121" t="s">
        <v>1392</v>
      </c>
      <c r="H134" s="2122">
        <f>M134</f>
        <v>0</v>
      </c>
      <c r="I134" s="2121" t="s">
        <v>1393</v>
      </c>
      <c r="J134" s="2121" t="s">
        <v>1394</v>
      </c>
      <c r="K134" s="2120">
        <v>92</v>
      </c>
      <c r="L134" s="2100">
        <v>0.9</v>
      </c>
      <c r="M134" s="417">
        <v>0</v>
      </c>
      <c r="N134" s="2101">
        <v>0</v>
      </c>
      <c r="O134" s="2824"/>
      <c r="P134" s="2102">
        <v>386400000</v>
      </c>
      <c r="Q134" s="2102">
        <v>287775000</v>
      </c>
      <c r="R134" s="2102">
        <v>0</v>
      </c>
      <c r="S134" s="2102">
        <v>0</v>
      </c>
      <c r="T134" s="2110">
        <f t="shared" si="61"/>
        <v>0</v>
      </c>
      <c r="U134" s="2111">
        <f t="shared" si="61"/>
        <v>0</v>
      </c>
      <c r="V134" s="453"/>
      <c r="W134" s="453"/>
      <c r="X134" s="213"/>
      <c r="Y134" s="2824"/>
    </row>
    <row r="135" spans="1:25" ht="27">
      <c r="A135" s="2825"/>
      <c r="B135" s="2069"/>
      <c r="C135" s="2825"/>
      <c r="D135" s="2825"/>
      <c r="E135" s="2122" t="s">
        <v>1395</v>
      </c>
      <c r="F135" s="2097"/>
      <c r="G135" s="2097"/>
      <c r="H135" s="2097"/>
      <c r="I135" s="2121" t="s">
        <v>1396</v>
      </c>
      <c r="J135" s="2121" t="s">
        <v>124</v>
      </c>
      <c r="K135" s="2120">
        <v>1</v>
      </c>
      <c r="L135" s="2100">
        <v>0.1</v>
      </c>
      <c r="M135" s="417">
        <v>0</v>
      </c>
      <c r="N135" s="2101">
        <v>0</v>
      </c>
      <c r="O135" s="2825"/>
      <c r="P135" s="2102">
        <v>48862000</v>
      </c>
      <c r="Q135" s="2102">
        <v>325813000</v>
      </c>
      <c r="R135" s="2102">
        <v>0</v>
      </c>
      <c r="S135" s="2102">
        <v>0</v>
      </c>
      <c r="T135" s="2110">
        <f t="shared" si="61"/>
        <v>0</v>
      </c>
      <c r="U135" s="2111">
        <f t="shared" si="61"/>
        <v>0</v>
      </c>
      <c r="V135" s="453"/>
      <c r="W135" s="453"/>
      <c r="X135" s="213"/>
      <c r="Y135" s="2825"/>
    </row>
    <row r="136" spans="1:25">
      <c r="A136" s="2066"/>
      <c r="B136" s="2118">
        <v>5204004</v>
      </c>
      <c r="C136" s="2118" t="s">
        <v>102</v>
      </c>
      <c r="D136" s="2082" t="s">
        <v>1397</v>
      </c>
      <c r="E136" s="2069"/>
      <c r="F136" s="2069"/>
      <c r="G136" s="2069"/>
      <c r="H136" s="2069"/>
      <c r="I136" s="2069"/>
      <c r="J136" s="2069"/>
      <c r="K136" s="2069"/>
      <c r="L136" s="2070"/>
      <c r="M136" s="417"/>
      <c r="N136" s="2101"/>
      <c r="O136" s="1213"/>
      <c r="P136" s="2102"/>
      <c r="Q136" s="2102"/>
      <c r="R136" s="2102"/>
      <c r="S136" s="2102"/>
      <c r="T136" s="2101"/>
      <c r="U136" s="2101"/>
      <c r="V136" s="453"/>
      <c r="W136" s="453"/>
      <c r="X136" s="213"/>
      <c r="Y136" s="2126"/>
    </row>
    <row r="137" spans="1:25" ht="25.5">
      <c r="A137" s="2066"/>
      <c r="B137" s="2152">
        <v>52040040003</v>
      </c>
      <c r="C137" s="2152" t="s">
        <v>103</v>
      </c>
      <c r="D137" s="2153" t="s">
        <v>1398</v>
      </c>
      <c r="E137" s="2154"/>
      <c r="F137" s="2152">
        <v>92</v>
      </c>
      <c r="G137" s="2154"/>
      <c r="H137" s="2154"/>
      <c r="I137" s="2069"/>
      <c r="J137" s="2069"/>
      <c r="K137" s="2069"/>
      <c r="L137" s="2070"/>
      <c r="M137" s="417"/>
      <c r="N137" s="2101"/>
      <c r="O137" s="2139"/>
      <c r="P137" s="2102"/>
      <c r="Q137" s="2102"/>
      <c r="R137" s="2102"/>
      <c r="S137" s="2102"/>
      <c r="T137" s="2101"/>
      <c r="U137" s="2101"/>
      <c r="V137" s="453"/>
      <c r="W137" s="453"/>
      <c r="X137" s="213"/>
      <c r="Y137" s="2126"/>
    </row>
    <row r="138" spans="1:25">
      <c r="A138" s="3014">
        <v>4143</v>
      </c>
      <c r="B138" s="2069"/>
      <c r="C138" s="3016" t="s">
        <v>109</v>
      </c>
      <c r="D138" s="3015" t="s">
        <v>1399</v>
      </c>
      <c r="E138" s="2122" t="s">
        <v>5000</v>
      </c>
      <c r="F138" s="2097"/>
      <c r="G138" s="2097"/>
      <c r="H138" s="2097"/>
      <c r="I138" s="2098"/>
      <c r="J138" s="2098"/>
      <c r="K138" s="2120">
        <f>K140</f>
        <v>92</v>
      </c>
      <c r="L138" s="2100">
        <f>SUM(L139:L140)</f>
        <v>1</v>
      </c>
      <c r="M138" s="417"/>
      <c r="N138" s="2101">
        <f>SUM(N139:N140)</f>
        <v>0.125</v>
      </c>
      <c r="O138" s="2826">
        <f>IF(Q138=0,"na",N138)</f>
        <v>0.125</v>
      </c>
      <c r="P138" s="2102">
        <f t="shared" ref="P138:S138" si="62">SUM(P139:P140)</f>
        <v>332040000</v>
      </c>
      <c r="Q138" s="2102">
        <f t="shared" si="62"/>
        <v>332040000</v>
      </c>
      <c r="R138" s="2102">
        <f t="shared" si="62"/>
        <v>332040000</v>
      </c>
      <c r="S138" s="2102">
        <f t="shared" si="62"/>
        <v>63848000</v>
      </c>
      <c r="T138" s="2110">
        <f t="shared" ref="T138:U140" si="63">IF(Q138=0,0,R138/Q138)</f>
        <v>1</v>
      </c>
      <c r="U138" s="2111">
        <f t="shared" si="63"/>
        <v>0.19229008553186364</v>
      </c>
      <c r="V138" s="453"/>
      <c r="W138" s="453"/>
      <c r="X138" s="213"/>
      <c r="Y138" s="3023" t="s">
        <v>1182</v>
      </c>
    </row>
    <row r="139" spans="1:25" ht="40.5">
      <c r="A139" s="2824"/>
      <c r="B139" s="2069"/>
      <c r="C139" s="2824"/>
      <c r="D139" s="2824"/>
      <c r="E139" s="2122" t="s">
        <v>1400</v>
      </c>
      <c r="F139" s="2097"/>
      <c r="G139" s="2097"/>
      <c r="H139" s="2097"/>
      <c r="I139" s="2121" t="s">
        <v>1401</v>
      </c>
      <c r="J139" s="2121" t="s">
        <v>1402</v>
      </c>
      <c r="K139" s="2120">
        <v>92</v>
      </c>
      <c r="L139" s="2100">
        <v>0.5</v>
      </c>
      <c r="M139" s="417">
        <v>0</v>
      </c>
      <c r="N139" s="2101">
        <v>2.5000000000000001E-2</v>
      </c>
      <c r="O139" s="2824"/>
      <c r="P139" s="2102">
        <v>12800000</v>
      </c>
      <c r="Q139" s="2102">
        <v>12800000</v>
      </c>
      <c r="R139" s="2102">
        <v>12800000</v>
      </c>
      <c r="S139" s="2102">
        <v>0</v>
      </c>
      <c r="T139" s="2110">
        <f t="shared" si="63"/>
        <v>1</v>
      </c>
      <c r="U139" s="2111">
        <f t="shared" si="63"/>
        <v>0</v>
      </c>
      <c r="V139" s="453">
        <v>45420</v>
      </c>
      <c r="W139" s="453">
        <v>45626</v>
      </c>
      <c r="X139" s="213" t="s">
        <v>5001</v>
      </c>
      <c r="Y139" s="2824"/>
    </row>
    <row r="140" spans="1:25" ht="67.5">
      <c r="A140" s="2825"/>
      <c r="B140" s="2069"/>
      <c r="C140" s="2825"/>
      <c r="D140" s="2825"/>
      <c r="E140" s="2122" t="s">
        <v>1403</v>
      </c>
      <c r="F140" s="2097"/>
      <c r="G140" s="2121" t="s">
        <v>1404</v>
      </c>
      <c r="H140" s="2122">
        <f>M140</f>
        <v>0</v>
      </c>
      <c r="I140" s="2121" t="s">
        <v>1405</v>
      </c>
      <c r="J140" s="2121" t="s">
        <v>1406</v>
      </c>
      <c r="K140" s="2120">
        <v>92</v>
      </c>
      <c r="L140" s="2100">
        <v>0.5</v>
      </c>
      <c r="M140" s="417">
        <v>0</v>
      </c>
      <c r="N140" s="2101">
        <v>0.1</v>
      </c>
      <c r="O140" s="2825"/>
      <c r="P140" s="2102">
        <v>319240000</v>
      </c>
      <c r="Q140" s="2102">
        <v>319240000</v>
      </c>
      <c r="R140" s="2102">
        <v>319240000</v>
      </c>
      <c r="S140" s="2102">
        <v>63848000</v>
      </c>
      <c r="T140" s="2110">
        <f t="shared" si="63"/>
        <v>1</v>
      </c>
      <c r="U140" s="2111">
        <f t="shared" si="63"/>
        <v>0.2</v>
      </c>
      <c r="V140" s="453">
        <v>45420</v>
      </c>
      <c r="W140" s="453">
        <v>45626</v>
      </c>
      <c r="X140" s="213" t="s">
        <v>5002</v>
      </c>
      <c r="Y140" s="2825"/>
    </row>
    <row r="141" spans="1:25" ht="38.25">
      <c r="A141" s="2066"/>
      <c r="B141" s="2152">
        <v>52040040004</v>
      </c>
      <c r="C141" s="2152" t="s">
        <v>103</v>
      </c>
      <c r="D141" s="2153" t="s">
        <v>1407</v>
      </c>
      <c r="E141" s="2154"/>
      <c r="F141" s="2152">
        <v>14</v>
      </c>
      <c r="G141" s="2154"/>
      <c r="H141" s="2154"/>
      <c r="I141" s="2069"/>
      <c r="J141" s="2069"/>
      <c r="K141" s="2069"/>
      <c r="L141" s="2070"/>
      <c r="M141" s="417"/>
      <c r="N141" s="2101"/>
      <c r="O141" s="1213"/>
      <c r="P141" s="2102"/>
      <c r="Q141" s="2102"/>
      <c r="R141" s="2102"/>
      <c r="S141" s="2102"/>
      <c r="T141" s="2101"/>
      <c r="U141" s="2101"/>
      <c r="V141" s="453"/>
      <c r="W141" s="453"/>
      <c r="X141" s="213"/>
      <c r="Y141" s="2126"/>
    </row>
    <row r="142" spans="1:25">
      <c r="A142" s="3014">
        <v>4143</v>
      </c>
      <c r="B142" s="2069"/>
      <c r="C142" s="3016" t="s">
        <v>109</v>
      </c>
      <c r="D142" s="3015" t="s">
        <v>1408</v>
      </c>
      <c r="E142" s="2122" t="s">
        <v>5003</v>
      </c>
      <c r="F142" s="2097"/>
      <c r="G142" s="2097"/>
      <c r="H142" s="2194">
        <f>SUM(H143:H145)</f>
        <v>0</v>
      </c>
      <c r="I142" s="2098"/>
      <c r="J142" s="2098"/>
      <c r="K142" s="2120">
        <f>K144</f>
        <v>14</v>
      </c>
      <c r="L142" s="2100">
        <f>SUM(L143:L145)</f>
        <v>1</v>
      </c>
      <c r="M142" s="417"/>
      <c r="N142" s="2101">
        <f>SUM(N143:N145)</f>
        <v>0.2</v>
      </c>
      <c r="O142" s="2826">
        <f>IF(Q142=0,"na",N142)</f>
        <v>0.2</v>
      </c>
      <c r="P142" s="2102">
        <f t="shared" ref="P142:S142" si="64">SUM(P143:P145)</f>
        <v>772322144</v>
      </c>
      <c r="Q142" s="2102">
        <f t="shared" si="64"/>
        <v>772322144</v>
      </c>
      <c r="R142" s="2102">
        <f t="shared" si="64"/>
        <v>772322144</v>
      </c>
      <c r="S142" s="2102">
        <f t="shared" si="64"/>
        <v>154464429</v>
      </c>
      <c r="T142" s="2110">
        <f t="shared" ref="T142:U145" si="65">IF(Q142=0,0,R142/Q142)</f>
        <v>1</v>
      </c>
      <c r="U142" s="2111">
        <f t="shared" si="65"/>
        <v>0.20000000025895931</v>
      </c>
      <c r="V142" s="453"/>
      <c r="W142" s="453"/>
      <c r="X142" s="213"/>
      <c r="Y142" s="3032" t="s">
        <v>1409</v>
      </c>
    </row>
    <row r="143" spans="1:25" ht="94.5">
      <c r="A143" s="2824"/>
      <c r="B143" s="2069"/>
      <c r="C143" s="2824"/>
      <c r="D143" s="2824"/>
      <c r="E143" s="2122" t="s">
        <v>1410</v>
      </c>
      <c r="F143" s="2097"/>
      <c r="G143" s="2097"/>
      <c r="H143" s="2097"/>
      <c r="I143" s="2121" t="s">
        <v>1411</v>
      </c>
      <c r="J143" s="2121" t="s">
        <v>1339</v>
      </c>
      <c r="K143" s="2120">
        <v>14</v>
      </c>
      <c r="L143" s="2100">
        <v>0.3</v>
      </c>
      <c r="M143" s="417">
        <v>0</v>
      </c>
      <c r="N143" s="2101">
        <v>0.06</v>
      </c>
      <c r="O143" s="2824"/>
      <c r="P143" s="2102">
        <v>637542000</v>
      </c>
      <c r="Q143" s="2102">
        <v>637542000</v>
      </c>
      <c r="R143" s="2102">
        <v>637542000</v>
      </c>
      <c r="S143" s="2102">
        <v>127508400</v>
      </c>
      <c r="T143" s="2110">
        <f t="shared" si="65"/>
        <v>1</v>
      </c>
      <c r="U143" s="2111">
        <f t="shared" si="65"/>
        <v>0.2</v>
      </c>
      <c r="V143" s="453">
        <v>45420</v>
      </c>
      <c r="W143" s="453">
        <v>45626</v>
      </c>
      <c r="X143" s="213" t="s">
        <v>5004</v>
      </c>
      <c r="Y143" s="2824"/>
    </row>
    <row r="144" spans="1:25" ht="81">
      <c r="A144" s="2824"/>
      <c r="B144" s="2069"/>
      <c r="C144" s="2824"/>
      <c r="D144" s="2824"/>
      <c r="E144" s="2122" t="s">
        <v>1412</v>
      </c>
      <c r="F144" s="2097"/>
      <c r="G144" s="2121" t="s">
        <v>1413</v>
      </c>
      <c r="H144" s="2096">
        <f>M144</f>
        <v>0</v>
      </c>
      <c r="I144" s="2121" t="s">
        <v>1414</v>
      </c>
      <c r="J144" s="2121" t="s">
        <v>1415</v>
      </c>
      <c r="K144" s="2120">
        <v>14</v>
      </c>
      <c r="L144" s="2100">
        <v>0.3</v>
      </c>
      <c r="M144" s="417">
        <v>0</v>
      </c>
      <c r="N144" s="2101">
        <v>0.06</v>
      </c>
      <c r="O144" s="2824"/>
      <c r="P144" s="2102">
        <v>49254144</v>
      </c>
      <c r="Q144" s="2102">
        <v>49254144</v>
      </c>
      <c r="R144" s="2102">
        <v>49254144</v>
      </c>
      <c r="S144" s="2102">
        <v>9850829</v>
      </c>
      <c r="T144" s="2110">
        <f t="shared" si="65"/>
        <v>1</v>
      </c>
      <c r="U144" s="2111">
        <f t="shared" si="65"/>
        <v>0.20000000406057203</v>
      </c>
      <c r="V144" s="453">
        <v>45420</v>
      </c>
      <c r="W144" s="453">
        <v>45626</v>
      </c>
      <c r="X144" s="213" t="s">
        <v>5005</v>
      </c>
      <c r="Y144" s="2824"/>
    </row>
    <row r="145" spans="1:25" ht="94.5">
      <c r="A145" s="2825"/>
      <c r="B145" s="2069"/>
      <c r="C145" s="2825"/>
      <c r="D145" s="2825"/>
      <c r="E145" s="2122" t="s">
        <v>1416</v>
      </c>
      <c r="F145" s="2097"/>
      <c r="G145" s="2097"/>
      <c r="H145" s="2097"/>
      <c r="I145" s="2121" t="s">
        <v>1417</v>
      </c>
      <c r="J145" s="2121" t="s">
        <v>1418</v>
      </c>
      <c r="K145" s="2120">
        <v>14</v>
      </c>
      <c r="L145" s="2100">
        <v>0.4</v>
      </c>
      <c r="M145" s="417">
        <v>0</v>
      </c>
      <c r="N145" s="2101">
        <v>0.08</v>
      </c>
      <c r="O145" s="2825"/>
      <c r="P145" s="2102">
        <v>85526000</v>
      </c>
      <c r="Q145" s="2102">
        <v>85526000</v>
      </c>
      <c r="R145" s="2102">
        <v>85526000</v>
      </c>
      <c r="S145" s="2102">
        <v>17105200</v>
      </c>
      <c r="T145" s="2110">
        <f t="shared" si="65"/>
        <v>1</v>
      </c>
      <c r="U145" s="2111">
        <f t="shared" si="65"/>
        <v>0.2</v>
      </c>
      <c r="V145" s="453">
        <v>45420</v>
      </c>
      <c r="W145" s="453">
        <v>45626</v>
      </c>
      <c r="X145" s="213" t="s">
        <v>5006</v>
      </c>
      <c r="Y145" s="2825"/>
    </row>
    <row r="146" spans="1:25">
      <c r="A146" s="2066"/>
      <c r="B146" s="2118">
        <v>5204005</v>
      </c>
      <c r="C146" s="2118" t="s">
        <v>102</v>
      </c>
      <c r="D146" s="2082" t="s">
        <v>1419</v>
      </c>
      <c r="E146" s="2069"/>
      <c r="F146" s="2069"/>
      <c r="G146" s="2069"/>
      <c r="H146" s="2069"/>
      <c r="I146" s="2069"/>
      <c r="J146" s="2069"/>
      <c r="K146" s="2069"/>
      <c r="L146" s="2070"/>
      <c r="M146" s="417"/>
      <c r="N146" s="2101"/>
      <c r="O146" s="2151"/>
      <c r="P146" s="2102"/>
      <c r="Q146" s="2102"/>
      <c r="R146" s="2102"/>
      <c r="S146" s="2102"/>
      <c r="T146" s="2195"/>
      <c r="U146" s="2101"/>
      <c r="V146" s="453"/>
      <c r="W146" s="453"/>
      <c r="X146" s="213"/>
      <c r="Y146" s="2126"/>
    </row>
    <row r="147" spans="1:25" ht="25.5">
      <c r="A147" s="2066"/>
      <c r="B147" s="2152">
        <v>52040050005</v>
      </c>
      <c r="C147" s="2152" t="s">
        <v>103</v>
      </c>
      <c r="D147" s="2153" t="s">
        <v>1420</v>
      </c>
      <c r="E147" s="2154"/>
      <c r="F147" s="2152">
        <v>92</v>
      </c>
      <c r="G147" s="2154"/>
      <c r="H147" s="2154"/>
      <c r="I147" s="2069"/>
      <c r="J147" s="2069"/>
      <c r="K147" s="2069"/>
      <c r="L147" s="2070"/>
      <c r="M147" s="417"/>
      <c r="N147" s="2101"/>
      <c r="O147" s="1213"/>
      <c r="P147" s="2102"/>
      <c r="Q147" s="2102"/>
      <c r="R147" s="2102"/>
      <c r="S147" s="2102"/>
      <c r="T147" s="2101"/>
      <c r="U147" s="2101"/>
      <c r="V147" s="453"/>
      <c r="W147" s="453"/>
      <c r="X147" s="213"/>
      <c r="Y147" s="2126"/>
    </row>
    <row r="148" spans="1:25">
      <c r="A148" s="3014">
        <v>4143</v>
      </c>
      <c r="B148" s="2069"/>
      <c r="C148" s="3016" t="s">
        <v>109</v>
      </c>
      <c r="D148" s="3015" t="s">
        <v>1421</v>
      </c>
      <c r="E148" s="2122" t="s">
        <v>5007</v>
      </c>
      <c r="F148" s="2097"/>
      <c r="G148" s="2097"/>
      <c r="H148" s="2194">
        <f>SUM(H149:H153)</f>
        <v>0</v>
      </c>
      <c r="I148" s="2098"/>
      <c r="J148" s="2098"/>
      <c r="K148" s="2120">
        <f>K149</f>
        <v>92</v>
      </c>
      <c r="L148" s="2190">
        <f>SUM(L149:L153)</f>
        <v>1</v>
      </c>
      <c r="M148" s="417"/>
      <c r="N148" s="2101">
        <f>SUM(N149:N153)</f>
        <v>0.01</v>
      </c>
      <c r="O148" s="2826">
        <f>IF(Q148=0,"na",N148)</f>
        <v>0.01</v>
      </c>
      <c r="P148" s="2102">
        <f t="shared" ref="P148:S148" si="66">SUM(P149:P153)</f>
        <v>7483734951</v>
      </c>
      <c r="Q148" s="2102">
        <f t="shared" si="66"/>
        <v>5283865951</v>
      </c>
      <c r="R148" s="2102">
        <f t="shared" si="66"/>
        <v>142185000</v>
      </c>
      <c r="S148" s="2102">
        <f t="shared" si="66"/>
        <v>5231000</v>
      </c>
      <c r="T148" s="2110">
        <f t="shared" ref="T148:U153" si="67">IF(Q148=0,0,R148/Q148)</f>
        <v>2.6909274633110387E-2</v>
      </c>
      <c r="U148" s="2111">
        <f t="shared" si="67"/>
        <v>3.6790097408306077E-2</v>
      </c>
      <c r="V148" s="453"/>
      <c r="W148" s="453"/>
      <c r="X148" s="213"/>
      <c r="Y148" s="3032" t="s">
        <v>1409</v>
      </c>
    </row>
    <row r="149" spans="1:25" ht="67.5">
      <c r="A149" s="2824"/>
      <c r="B149" s="2069"/>
      <c r="C149" s="2824"/>
      <c r="D149" s="2824"/>
      <c r="E149" s="2122" t="s">
        <v>1422</v>
      </c>
      <c r="F149" s="2097"/>
      <c r="G149" s="2131" t="s">
        <v>1423</v>
      </c>
      <c r="H149" s="2122"/>
      <c r="I149" s="2131" t="s">
        <v>1424</v>
      </c>
      <c r="J149" s="2121" t="s">
        <v>1425</v>
      </c>
      <c r="K149" s="2120">
        <v>92</v>
      </c>
      <c r="L149" s="2100">
        <v>0.15</v>
      </c>
      <c r="M149" s="417">
        <v>0</v>
      </c>
      <c r="N149" s="2101">
        <v>0.01</v>
      </c>
      <c r="O149" s="2824"/>
      <c r="P149" s="2102">
        <v>2034599694</v>
      </c>
      <c r="Q149" s="2102">
        <v>1914394818</v>
      </c>
      <c r="R149" s="2102">
        <v>142185000</v>
      </c>
      <c r="S149" s="2102">
        <v>5231000</v>
      </c>
      <c r="T149" s="2110">
        <f t="shared" si="67"/>
        <v>7.4271513202560285E-2</v>
      </c>
      <c r="U149" s="2111">
        <f t="shared" si="67"/>
        <v>3.6790097408306077E-2</v>
      </c>
      <c r="V149" s="453">
        <v>45461</v>
      </c>
      <c r="W149" s="453">
        <v>45596</v>
      </c>
      <c r="X149" s="213" t="s">
        <v>5008</v>
      </c>
      <c r="Y149" s="2824"/>
    </row>
    <row r="150" spans="1:25" ht="81">
      <c r="A150" s="2824"/>
      <c r="B150" s="2069"/>
      <c r="C150" s="2824"/>
      <c r="D150" s="2824"/>
      <c r="E150" s="2122" t="s">
        <v>1426</v>
      </c>
      <c r="F150" s="2097"/>
      <c r="G150" s="2097"/>
      <c r="H150" s="2097"/>
      <c r="I150" s="2131" t="s">
        <v>1427</v>
      </c>
      <c r="J150" s="2121" t="s">
        <v>1428</v>
      </c>
      <c r="K150" s="2120">
        <v>24</v>
      </c>
      <c r="L150" s="2100">
        <v>0.1</v>
      </c>
      <c r="M150" s="417">
        <v>0</v>
      </c>
      <c r="N150" s="2101">
        <v>0</v>
      </c>
      <c r="O150" s="2824"/>
      <c r="P150" s="2102">
        <v>358161410</v>
      </c>
      <c r="Q150" s="2102">
        <v>358161410</v>
      </c>
      <c r="R150" s="2102">
        <v>0</v>
      </c>
      <c r="S150" s="2102">
        <v>0</v>
      </c>
      <c r="T150" s="2110">
        <f t="shared" si="67"/>
        <v>0</v>
      </c>
      <c r="U150" s="2111">
        <f t="shared" si="67"/>
        <v>0</v>
      </c>
      <c r="V150" s="453"/>
      <c r="W150" s="453"/>
      <c r="X150" s="213"/>
      <c r="Y150" s="2824"/>
    </row>
    <row r="151" spans="1:25" ht="40.5">
      <c r="A151" s="2824"/>
      <c r="B151" s="2069"/>
      <c r="C151" s="2824"/>
      <c r="D151" s="2824"/>
      <c r="E151" s="2122" t="s">
        <v>1429</v>
      </c>
      <c r="F151" s="2097"/>
      <c r="G151" s="2097"/>
      <c r="H151" s="2097"/>
      <c r="I151" s="2131" t="s">
        <v>1430</v>
      </c>
      <c r="J151" s="2121" t="s">
        <v>1431</v>
      </c>
      <c r="K151" s="2120">
        <v>4</v>
      </c>
      <c r="L151" s="2100">
        <v>0.15</v>
      </c>
      <c r="M151" s="417">
        <v>0</v>
      </c>
      <c r="N151" s="2101">
        <v>0</v>
      </c>
      <c r="O151" s="2824"/>
      <c r="P151" s="2102">
        <v>2820127517</v>
      </c>
      <c r="Q151" s="2102">
        <v>620258517</v>
      </c>
      <c r="R151" s="2102">
        <v>0</v>
      </c>
      <c r="S151" s="2102">
        <v>0</v>
      </c>
      <c r="T151" s="2110">
        <f t="shared" si="67"/>
        <v>0</v>
      </c>
      <c r="U151" s="2111">
        <f t="shared" si="67"/>
        <v>0</v>
      </c>
      <c r="V151" s="453"/>
      <c r="W151" s="453"/>
      <c r="X151" s="213"/>
      <c r="Y151" s="2824"/>
    </row>
    <row r="152" spans="1:25" ht="67.5">
      <c r="A152" s="2824"/>
      <c r="B152" s="2069"/>
      <c r="C152" s="2824"/>
      <c r="D152" s="2824"/>
      <c r="E152" s="2122" t="s">
        <v>1432</v>
      </c>
      <c r="F152" s="2097"/>
      <c r="G152" s="2097"/>
      <c r="H152" s="2097"/>
      <c r="I152" s="2131" t="s">
        <v>1433</v>
      </c>
      <c r="J152" s="2121" t="s">
        <v>1434</v>
      </c>
      <c r="K152" s="2120">
        <v>400</v>
      </c>
      <c r="L152" s="2100">
        <v>0.3</v>
      </c>
      <c r="M152" s="417">
        <v>0</v>
      </c>
      <c r="N152" s="2101">
        <v>0</v>
      </c>
      <c r="O152" s="2824"/>
      <c r="P152" s="2102">
        <v>1195674690</v>
      </c>
      <c r="Q152" s="2102">
        <v>1156211490</v>
      </c>
      <c r="R152" s="2102">
        <v>0</v>
      </c>
      <c r="S152" s="2102">
        <v>0</v>
      </c>
      <c r="T152" s="2110">
        <f t="shared" si="67"/>
        <v>0</v>
      </c>
      <c r="U152" s="2111">
        <f t="shared" si="67"/>
        <v>0</v>
      </c>
      <c r="V152" s="453"/>
      <c r="W152" s="453"/>
      <c r="X152" s="213"/>
      <c r="Y152" s="2824"/>
    </row>
    <row r="153" spans="1:25" ht="54">
      <c r="A153" s="2825"/>
      <c r="B153" s="2069"/>
      <c r="C153" s="2825"/>
      <c r="D153" s="2825"/>
      <c r="E153" s="2122" t="s">
        <v>1435</v>
      </c>
      <c r="F153" s="2097"/>
      <c r="G153" s="2097"/>
      <c r="H153" s="2097"/>
      <c r="I153" s="2131" t="s">
        <v>1436</v>
      </c>
      <c r="J153" s="2121" t="s">
        <v>1437</v>
      </c>
      <c r="K153" s="2120">
        <v>2550</v>
      </c>
      <c r="L153" s="2100">
        <v>0.3</v>
      </c>
      <c r="M153" s="417">
        <v>0</v>
      </c>
      <c r="N153" s="2101">
        <v>0</v>
      </c>
      <c r="O153" s="2825"/>
      <c r="P153" s="2102">
        <v>1075171640</v>
      </c>
      <c r="Q153" s="2102">
        <v>1234839716</v>
      </c>
      <c r="R153" s="2102">
        <v>0</v>
      </c>
      <c r="S153" s="2102">
        <v>0</v>
      </c>
      <c r="T153" s="2110">
        <f t="shared" si="67"/>
        <v>0</v>
      </c>
      <c r="U153" s="2111">
        <f t="shared" si="67"/>
        <v>0</v>
      </c>
      <c r="V153" s="453"/>
      <c r="W153" s="453"/>
      <c r="X153" s="213"/>
      <c r="Y153" s="2824"/>
    </row>
    <row r="154" spans="1:25" ht="25.5">
      <c r="A154" s="2066"/>
      <c r="B154" s="2152">
        <v>52040050006</v>
      </c>
      <c r="C154" s="2152" t="s">
        <v>103</v>
      </c>
      <c r="D154" s="2153" t="s">
        <v>1438</v>
      </c>
      <c r="E154" s="2154"/>
      <c r="F154" s="2175">
        <v>1</v>
      </c>
      <c r="G154" s="2154"/>
      <c r="H154" s="2154"/>
      <c r="I154" s="2069"/>
      <c r="J154" s="2069"/>
      <c r="K154" s="2069"/>
      <c r="L154" s="2070"/>
      <c r="M154" s="417"/>
      <c r="N154" s="2101"/>
      <c r="O154" s="2196"/>
      <c r="P154" s="2102"/>
      <c r="Q154" s="2102"/>
      <c r="R154" s="2102"/>
      <c r="S154" s="2102"/>
      <c r="T154" s="2101"/>
      <c r="U154" s="2101"/>
      <c r="V154" s="453"/>
      <c r="W154" s="453"/>
      <c r="X154" s="2132"/>
      <c r="Y154" s="2126"/>
    </row>
    <row r="155" spans="1:25">
      <c r="A155" s="3014">
        <v>4143</v>
      </c>
      <c r="B155" s="2069"/>
      <c r="C155" s="3016" t="s">
        <v>109</v>
      </c>
      <c r="D155" s="3015" t="s">
        <v>1439</v>
      </c>
      <c r="E155" s="2122" t="s">
        <v>5009</v>
      </c>
      <c r="F155" s="2097"/>
      <c r="G155" s="2097"/>
      <c r="H155" s="2197">
        <f>SUM(H156:H157)</f>
        <v>0</v>
      </c>
      <c r="I155" s="2098"/>
      <c r="J155" s="2098"/>
      <c r="K155" s="2120">
        <f>K156</f>
        <v>1</v>
      </c>
      <c r="L155" s="2190">
        <f>SUM(L156:L157)</f>
        <v>1</v>
      </c>
      <c r="M155" s="417"/>
      <c r="N155" s="2101">
        <f>SUM(N156:N157)</f>
        <v>3.5000000000000003E-2</v>
      </c>
      <c r="O155" s="2826">
        <f>IF(Q155=0,"na",N155)</f>
        <v>3.5000000000000003E-2</v>
      </c>
      <c r="P155" s="2102">
        <f t="shared" ref="P155:S155" si="68">SUM(P156:P157)</f>
        <v>302131000</v>
      </c>
      <c r="Q155" s="2102">
        <f t="shared" si="68"/>
        <v>302131000</v>
      </c>
      <c r="R155" s="2102">
        <f t="shared" si="68"/>
        <v>36774000</v>
      </c>
      <c r="S155" s="2102">
        <f t="shared" si="68"/>
        <v>0</v>
      </c>
      <c r="T155" s="2110">
        <f t="shared" ref="T155:U157" si="69">IF(Q155=0,0,R155/Q155)</f>
        <v>0.12171541483661061</v>
      </c>
      <c r="U155" s="2111">
        <f t="shared" si="69"/>
        <v>0</v>
      </c>
      <c r="V155" s="453"/>
      <c r="W155" s="453"/>
      <c r="X155" s="213"/>
      <c r="Y155" s="3032" t="s">
        <v>1409</v>
      </c>
    </row>
    <row r="156" spans="1:25" ht="54">
      <c r="A156" s="2824"/>
      <c r="B156" s="2069"/>
      <c r="C156" s="2824"/>
      <c r="D156" s="2824"/>
      <c r="E156" s="2122" t="s">
        <v>1440</v>
      </c>
      <c r="F156" s="2097"/>
      <c r="G156" s="2121" t="s">
        <v>1441</v>
      </c>
      <c r="H156" s="2198"/>
      <c r="I156" s="2121" t="s">
        <v>1442</v>
      </c>
      <c r="J156" s="2121" t="s">
        <v>1443</v>
      </c>
      <c r="K156" s="2120">
        <v>1</v>
      </c>
      <c r="L156" s="2100">
        <v>0.5</v>
      </c>
      <c r="M156" s="417"/>
      <c r="N156" s="2101"/>
      <c r="O156" s="2824"/>
      <c r="P156" s="2102">
        <v>146291000</v>
      </c>
      <c r="Q156" s="2102">
        <v>0</v>
      </c>
      <c r="R156" s="2102">
        <v>0</v>
      </c>
      <c r="S156" s="2102">
        <v>0</v>
      </c>
      <c r="T156" s="2110">
        <f t="shared" si="69"/>
        <v>0</v>
      </c>
      <c r="U156" s="2111">
        <f t="shared" si="69"/>
        <v>0</v>
      </c>
      <c r="V156" s="453"/>
      <c r="W156" s="453"/>
      <c r="X156" s="2199"/>
      <c r="Y156" s="2824"/>
    </row>
    <row r="157" spans="1:25" ht="67.5">
      <c r="A157" s="2825"/>
      <c r="B157" s="2069"/>
      <c r="C157" s="2825"/>
      <c r="D157" s="2825"/>
      <c r="E157" s="2122" t="s">
        <v>1444</v>
      </c>
      <c r="F157" s="2097"/>
      <c r="G157" s="2097"/>
      <c r="H157" s="2097"/>
      <c r="I157" s="2121" t="s">
        <v>1445</v>
      </c>
      <c r="J157" s="2121" t="s">
        <v>1446</v>
      </c>
      <c r="K157" s="2120">
        <v>4</v>
      </c>
      <c r="L157" s="2100">
        <v>0.5</v>
      </c>
      <c r="M157" s="417">
        <v>0</v>
      </c>
      <c r="N157" s="2101">
        <v>3.5000000000000003E-2</v>
      </c>
      <c r="O157" s="2824"/>
      <c r="P157" s="2102">
        <v>155840000</v>
      </c>
      <c r="Q157" s="2102">
        <v>302131000</v>
      </c>
      <c r="R157" s="2102">
        <v>36774000</v>
      </c>
      <c r="S157" s="2102">
        <v>0</v>
      </c>
      <c r="T157" s="2110">
        <f t="shared" si="69"/>
        <v>0.12171541483661061</v>
      </c>
      <c r="U157" s="2111">
        <f t="shared" si="69"/>
        <v>0</v>
      </c>
      <c r="V157" s="453">
        <v>45461</v>
      </c>
      <c r="W157" s="453">
        <v>45596</v>
      </c>
      <c r="X157" s="2199" t="s">
        <v>5010</v>
      </c>
      <c r="Y157" s="2825"/>
    </row>
    <row r="158" spans="1:25">
      <c r="A158" s="2066"/>
      <c r="B158" s="2152">
        <v>52040050007</v>
      </c>
      <c r="C158" s="2152" t="s">
        <v>103</v>
      </c>
      <c r="D158" s="2153" t="s">
        <v>1447</v>
      </c>
      <c r="E158" s="2154"/>
      <c r="F158" s="2175">
        <v>0</v>
      </c>
      <c r="G158" s="2154"/>
      <c r="H158" s="2154"/>
      <c r="I158" s="2069"/>
      <c r="J158" s="2069"/>
      <c r="K158" s="2069"/>
      <c r="L158" s="2070"/>
      <c r="M158" s="417"/>
      <c r="N158" s="2101"/>
      <c r="O158" s="2151"/>
      <c r="P158" s="2102"/>
      <c r="Q158" s="2102"/>
      <c r="R158" s="2102"/>
      <c r="S158" s="2102"/>
      <c r="T158" s="2101"/>
      <c r="U158" s="2101"/>
      <c r="V158" s="453"/>
      <c r="W158" s="453"/>
      <c r="X158" s="446"/>
      <c r="Y158" s="2126"/>
    </row>
    <row r="159" spans="1:25">
      <c r="A159" s="3014">
        <v>4143</v>
      </c>
      <c r="B159" s="2069"/>
      <c r="C159" s="3016" t="s">
        <v>109</v>
      </c>
      <c r="D159" s="3015" t="s">
        <v>1448</v>
      </c>
      <c r="E159" s="2122" t="s">
        <v>5011</v>
      </c>
      <c r="F159" s="2097"/>
      <c r="G159" s="2097"/>
      <c r="H159" s="2200">
        <f>SUM(H160:H161)</f>
        <v>0.25</v>
      </c>
      <c r="I159" s="2098"/>
      <c r="J159" s="2098"/>
      <c r="K159" s="2120">
        <f>K160</f>
        <v>1</v>
      </c>
      <c r="L159" s="2190">
        <f>SUM(L160:L161)</f>
        <v>1</v>
      </c>
      <c r="M159" s="417"/>
      <c r="N159" s="2101">
        <f>SUM(N160:N161)</f>
        <v>0</v>
      </c>
      <c r="O159" s="2826">
        <f>IF(Q159=0,"na",N159)</f>
        <v>0</v>
      </c>
      <c r="P159" s="2102">
        <f t="shared" ref="P159:S159" si="70">SUM(P160:P161)</f>
        <v>200000000</v>
      </c>
      <c r="Q159" s="2102">
        <f t="shared" si="70"/>
        <v>200000000</v>
      </c>
      <c r="R159" s="2102">
        <f t="shared" si="70"/>
        <v>0</v>
      </c>
      <c r="S159" s="2102">
        <f t="shared" si="70"/>
        <v>0</v>
      </c>
      <c r="T159" s="2110">
        <f t="shared" ref="T159:U161" si="71">IF(Q159=0,0,R159/Q159)</f>
        <v>0</v>
      </c>
      <c r="U159" s="2111">
        <f t="shared" si="71"/>
        <v>0</v>
      </c>
      <c r="V159" s="453"/>
      <c r="W159" s="453"/>
      <c r="X159" s="213"/>
      <c r="Y159" s="3032" t="s">
        <v>1226</v>
      </c>
    </row>
    <row r="160" spans="1:25" ht="67.5">
      <c r="A160" s="2824"/>
      <c r="B160" s="2069"/>
      <c r="C160" s="2824"/>
      <c r="D160" s="2824"/>
      <c r="E160" s="2122" t="s">
        <v>1449</v>
      </c>
      <c r="F160" s="2097"/>
      <c r="G160" s="2131" t="s">
        <v>1450</v>
      </c>
      <c r="H160" s="2201">
        <v>0.25</v>
      </c>
      <c r="I160" s="2131" t="s">
        <v>1451</v>
      </c>
      <c r="J160" s="2121" t="s">
        <v>1452</v>
      </c>
      <c r="K160" s="2120">
        <v>1</v>
      </c>
      <c r="L160" s="2100">
        <v>0.5</v>
      </c>
      <c r="M160" s="417">
        <v>0</v>
      </c>
      <c r="N160" s="2101">
        <v>0</v>
      </c>
      <c r="O160" s="2824"/>
      <c r="P160" s="2102">
        <v>70351680</v>
      </c>
      <c r="Q160" s="2102">
        <v>70351680</v>
      </c>
      <c r="R160" s="2102">
        <v>0</v>
      </c>
      <c r="S160" s="2102">
        <v>0</v>
      </c>
      <c r="T160" s="2110">
        <f t="shared" si="71"/>
        <v>0</v>
      </c>
      <c r="U160" s="2111">
        <f t="shared" si="71"/>
        <v>0</v>
      </c>
      <c r="V160" s="453"/>
      <c r="W160" s="453"/>
      <c r="X160" s="446"/>
      <c r="Y160" s="2824"/>
    </row>
    <row r="161" spans="1:25" ht="108">
      <c r="A161" s="2825"/>
      <c r="B161" s="2069"/>
      <c r="C161" s="2825"/>
      <c r="D161" s="2825"/>
      <c r="E161" s="2122" t="s">
        <v>1453</v>
      </c>
      <c r="F161" s="2097"/>
      <c r="G161" s="2162"/>
      <c r="H161" s="2162"/>
      <c r="I161" s="2131" t="s">
        <v>1454</v>
      </c>
      <c r="J161" s="2121" t="s">
        <v>1455</v>
      </c>
      <c r="K161" s="2120">
        <v>1</v>
      </c>
      <c r="L161" s="2100">
        <v>0.5</v>
      </c>
      <c r="M161" s="417">
        <v>0</v>
      </c>
      <c r="N161" s="2101">
        <v>0</v>
      </c>
      <c r="O161" s="2824"/>
      <c r="P161" s="2102">
        <v>129648320</v>
      </c>
      <c r="Q161" s="2102">
        <v>129648320</v>
      </c>
      <c r="R161" s="2102">
        <v>0</v>
      </c>
      <c r="S161" s="2102">
        <v>0</v>
      </c>
      <c r="T161" s="2110">
        <f t="shared" si="71"/>
        <v>0</v>
      </c>
      <c r="U161" s="2111">
        <f t="shared" si="71"/>
        <v>0</v>
      </c>
      <c r="V161" s="453"/>
      <c r="W161" s="453"/>
      <c r="X161" s="213"/>
      <c r="Y161" s="2824"/>
    </row>
    <row r="162" spans="1:25">
      <c r="A162" s="2066"/>
      <c r="B162" s="2136">
        <v>53</v>
      </c>
      <c r="C162" s="2136" t="s">
        <v>100</v>
      </c>
      <c r="D162" s="2068" t="s">
        <v>175</v>
      </c>
      <c r="E162" s="2069"/>
      <c r="F162" s="2069"/>
      <c r="G162" s="2069"/>
      <c r="H162" s="2069"/>
      <c r="I162" s="2069"/>
      <c r="J162" s="2069"/>
      <c r="K162" s="2069"/>
      <c r="L162" s="2070"/>
      <c r="M162" s="417"/>
      <c r="N162" s="2101"/>
      <c r="O162" s="1213"/>
      <c r="P162" s="2102"/>
      <c r="Q162" s="2102"/>
      <c r="R162" s="2102"/>
      <c r="S162" s="2102"/>
      <c r="T162" s="2101"/>
      <c r="U162" s="2101"/>
      <c r="V162" s="453"/>
      <c r="W162" s="453"/>
      <c r="X162" s="2199"/>
      <c r="Y162" s="2126"/>
    </row>
    <row r="163" spans="1:25">
      <c r="A163" s="2066"/>
      <c r="B163" s="2136">
        <v>5301</v>
      </c>
      <c r="C163" s="2136" t="s">
        <v>101</v>
      </c>
      <c r="D163" s="2068" t="s">
        <v>248</v>
      </c>
      <c r="E163" s="2069"/>
      <c r="F163" s="2069"/>
      <c r="G163" s="2069"/>
      <c r="H163" s="2069"/>
      <c r="I163" s="2069"/>
      <c r="J163" s="2069"/>
      <c r="K163" s="2069"/>
      <c r="L163" s="2070"/>
      <c r="M163" s="417"/>
      <c r="N163" s="2101"/>
      <c r="O163" s="1213"/>
      <c r="P163" s="2102"/>
      <c r="Q163" s="2102"/>
      <c r="R163" s="2102"/>
      <c r="S163" s="2102"/>
      <c r="T163" s="2101"/>
      <c r="U163" s="2101"/>
      <c r="V163" s="453"/>
      <c r="W163" s="453"/>
      <c r="X163" s="213"/>
      <c r="Y163" s="2126"/>
    </row>
    <row r="164" spans="1:25">
      <c r="A164" s="2066"/>
      <c r="B164" s="2118">
        <v>5301004</v>
      </c>
      <c r="C164" s="2118" t="s">
        <v>102</v>
      </c>
      <c r="D164" s="2082" t="s">
        <v>1456</v>
      </c>
      <c r="E164" s="2069"/>
      <c r="F164" s="2069"/>
      <c r="G164" s="2069"/>
      <c r="H164" s="2069"/>
      <c r="I164" s="2069"/>
      <c r="J164" s="2069"/>
      <c r="K164" s="2069"/>
      <c r="L164" s="2070"/>
      <c r="M164" s="417"/>
      <c r="N164" s="2101"/>
      <c r="O164" s="1213"/>
      <c r="P164" s="2102"/>
      <c r="Q164" s="2102"/>
      <c r="R164" s="2102"/>
      <c r="S164" s="2102"/>
      <c r="T164" s="2101"/>
      <c r="U164" s="2101"/>
      <c r="V164" s="453"/>
      <c r="W164" s="453"/>
      <c r="X164" s="213"/>
      <c r="Y164" s="2126"/>
    </row>
    <row r="165" spans="1:25" ht="38.25">
      <c r="A165" s="2066"/>
      <c r="B165" s="2152">
        <v>53010040005</v>
      </c>
      <c r="C165" s="2152" t="s">
        <v>103</v>
      </c>
      <c r="D165" s="2153" t="s">
        <v>1457</v>
      </c>
      <c r="E165" s="2154"/>
      <c r="F165" s="2152">
        <v>14</v>
      </c>
      <c r="G165" s="2154"/>
      <c r="H165" s="2154"/>
      <c r="I165" s="2069"/>
      <c r="J165" s="2069"/>
      <c r="K165" s="2069"/>
      <c r="L165" s="2070"/>
      <c r="M165" s="417"/>
      <c r="N165" s="2101"/>
      <c r="O165" s="1213"/>
      <c r="P165" s="2102"/>
      <c r="Q165" s="2102"/>
      <c r="R165" s="2102"/>
      <c r="S165" s="2102"/>
      <c r="T165" s="2101"/>
      <c r="U165" s="2101"/>
      <c r="V165" s="453"/>
      <c r="W165" s="453"/>
      <c r="X165" s="2202"/>
      <c r="Y165" s="2126"/>
    </row>
    <row r="166" spans="1:25">
      <c r="A166" s="3014">
        <v>4143</v>
      </c>
      <c r="B166" s="2069"/>
      <c r="C166" s="3016" t="s">
        <v>109</v>
      </c>
      <c r="D166" s="3015" t="s">
        <v>1458</v>
      </c>
      <c r="E166" s="2122" t="s">
        <v>5012</v>
      </c>
      <c r="F166" s="2097"/>
      <c r="G166" s="2097"/>
      <c r="H166" s="2194">
        <f>SUM(H167:H168)</f>
        <v>0</v>
      </c>
      <c r="I166" s="2098"/>
      <c r="J166" s="2098"/>
      <c r="K166" s="2120">
        <f>K167</f>
        <v>13</v>
      </c>
      <c r="L166" s="2190">
        <f>SUM(L167:L168)</f>
        <v>1</v>
      </c>
      <c r="M166" s="417"/>
      <c r="N166" s="2101">
        <f>SUM(N167:N168)</f>
        <v>0</v>
      </c>
      <c r="O166" s="2826">
        <f>IF(Q166=0,"na",N166)</f>
        <v>0</v>
      </c>
      <c r="P166" s="2102">
        <f t="shared" ref="P166:S166" si="72">SUM(P167:P168)</f>
        <v>282049856</v>
      </c>
      <c r="Q166" s="2102">
        <f t="shared" si="72"/>
        <v>282049856</v>
      </c>
      <c r="R166" s="2102">
        <f t="shared" si="72"/>
        <v>0</v>
      </c>
      <c r="S166" s="2102">
        <f t="shared" si="72"/>
        <v>0</v>
      </c>
      <c r="T166" s="2110">
        <f t="shared" ref="T166:U168" si="73">IF(Q166=0,0,R166/Q166)</f>
        <v>0</v>
      </c>
      <c r="U166" s="2111">
        <f t="shared" si="73"/>
        <v>0</v>
      </c>
      <c r="V166" s="453"/>
      <c r="W166" s="453"/>
      <c r="X166" s="213"/>
      <c r="Y166" s="3032" t="s">
        <v>1459</v>
      </c>
    </row>
    <row r="167" spans="1:25" ht="40.5">
      <c r="A167" s="2824"/>
      <c r="B167" s="2069"/>
      <c r="C167" s="2824"/>
      <c r="D167" s="2824"/>
      <c r="E167" s="2122" t="s">
        <v>1460</v>
      </c>
      <c r="F167" s="2097"/>
      <c r="G167" s="2121" t="s">
        <v>1461</v>
      </c>
      <c r="H167" s="2122"/>
      <c r="I167" s="2121" t="s">
        <v>1462</v>
      </c>
      <c r="J167" s="2121" t="s">
        <v>1463</v>
      </c>
      <c r="K167" s="2120">
        <v>13</v>
      </c>
      <c r="L167" s="2100">
        <v>0.6</v>
      </c>
      <c r="M167" s="417">
        <v>0</v>
      </c>
      <c r="N167" s="2101">
        <v>0</v>
      </c>
      <c r="O167" s="2824"/>
      <c r="P167" s="2102">
        <v>150100000</v>
      </c>
      <c r="Q167" s="2102">
        <v>150100000</v>
      </c>
      <c r="R167" s="2102">
        <v>0</v>
      </c>
      <c r="S167" s="2102">
        <v>0</v>
      </c>
      <c r="T167" s="2110">
        <f t="shared" si="73"/>
        <v>0</v>
      </c>
      <c r="U167" s="2111">
        <f t="shared" si="73"/>
        <v>0</v>
      </c>
      <c r="V167" s="453"/>
      <c r="W167" s="453"/>
      <c r="X167" s="213"/>
      <c r="Y167" s="2824"/>
    </row>
    <row r="168" spans="1:25" ht="54">
      <c r="A168" s="2825"/>
      <c r="B168" s="2069"/>
      <c r="C168" s="2825"/>
      <c r="D168" s="2825"/>
      <c r="E168" s="2122" t="s">
        <v>1464</v>
      </c>
      <c r="F168" s="2097"/>
      <c r="G168" s="2097"/>
      <c r="H168" s="2097"/>
      <c r="I168" s="2121" t="s">
        <v>1465</v>
      </c>
      <c r="J168" s="2121" t="s">
        <v>1466</v>
      </c>
      <c r="K168" s="2120">
        <v>15</v>
      </c>
      <c r="L168" s="2100">
        <v>0.4</v>
      </c>
      <c r="M168" s="417">
        <v>0</v>
      </c>
      <c r="N168" s="2101">
        <v>0</v>
      </c>
      <c r="O168" s="2824"/>
      <c r="P168" s="2102">
        <v>131949856</v>
      </c>
      <c r="Q168" s="2102">
        <v>131949856</v>
      </c>
      <c r="R168" s="2102">
        <v>0</v>
      </c>
      <c r="S168" s="2102">
        <v>0</v>
      </c>
      <c r="T168" s="2110">
        <f t="shared" si="73"/>
        <v>0</v>
      </c>
      <c r="U168" s="2111">
        <f t="shared" si="73"/>
        <v>0</v>
      </c>
      <c r="V168" s="453"/>
      <c r="W168" s="453"/>
      <c r="X168" s="863"/>
      <c r="Y168" s="2825"/>
    </row>
    <row r="169" spans="1:25">
      <c r="A169" s="326"/>
      <c r="B169" s="327"/>
      <c r="C169" s="327"/>
      <c r="D169" s="327"/>
      <c r="E169" s="327"/>
      <c r="F169" s="327"/>
      <c r="G169" s="327"/>
      <c r="H169" s="327"/>
      <c r="I169" s="327"/>
      <c r="J169" s="327"/>
      <c r="K169" s="327"/>
      <c r="L169" s="327"/>
      <c r="M169" s="417"/>
      <c r="N169" s="473"/>
      <c r="O169" s="412"/>
      <c r="P169" s="2102"/>
      <c r="Q169" s="2102"/>
      <c r="R169" s="2102"/>
      <c r="S169" s="2102"/>
      <c r="T169" s="2101"/>
      <c r="U169" s="2101"/>
      <c r="V169" s="453"/>
      <c r="W169" s="416"/>
      <c r="X169" s="213"/>
      <c r="Y169" s="885"/>
    </row>
    <row r="170" spans="1:25">
      <c r="A170" s="2203"/>
      <c r="B170" s="2204"/>
      <c r="C170" s="2204"/>
      <c r="D170" s="2205"/>
      <c r="E170" s="2206"/>
      <c r="F170" s="2204"/>
      <c r="G170" s="2205"/>
      <c r="H170" s="2207"/>
      <c r="I170" s="2205"/>
      <c r="J170" s="2205"/>
      <c r="K170" s="2206"/>
      <c r="L170" s="2204"/>
      <c r="M170" s="2207"/>
      <c r="N170" s="2208"/>
      <c r="O170" s="2209"/>
      <c r="P170" s="2210"/>
      <c r="Q170" s="2210"/>
      <c r="R170" s="2210"/>
      <c r="S170" s="2210"/>
      <c r="T170" s="2211"/>
      <c r="U170" s="2212"/>
      <c r="V170" s="2204"/>
      <c r="W170" s="2207"/>
      <c r="X170" s="2205"/>
      <c r="Y170" s="2213"/>
    </row>
    <row r="171" spans="1:25">
      <c r="A171" s="2203"/>
      <c r="B171" s="2214" t="s">
        <v>36</v>
      </c>
      <c r="C171" s="2214">
        <f>COUNTIF(C7:C169,"pr")</f>
        <v>48</v>
      </c>
      <c r="D171" s="2215"/>
      <c r="E171" s="2216" t="s">
        <v>1467</v>
      </c>
      <c r="F171" s="2216"/>
      <c r="G171" s="2217">
        <f>COUNTIF(O11:O169,"na")</f>
        <v>0</v>
      </c>
      <c r="H171" s="2207"/>
      <c r="I171" s="2205"/>
      <c r="J171" s="2205"/>
      <c r="K171" s="2206"/>
      <c r="L171" s="2204"/>
      <c r="M171" s="2207"/>
      <c r="N171" s="2218" t="s">
        <v>503</v>
      </c>
      <c r="O171" s="2219">
        <f>AVERAGE(O11:O169)</f>
        <v>7.2562500000000002E-2</v>
      </c>
      <c r="P171" s="2220">
        <f t="shared" ref="P171:S171" si="74">SUMIF($C$7:$C$169,"pr",P7:P169)</f>
        <v>1094649843906</v>
      </c>
      <c r="Q171" s="2220">
        <f t="shared" si="74"/>
        <v>1186238296800</v>
      </c>
      <c r="R171" s="2220">
        <f t="shared" si="74"/>
        <v>706185103026</v>
      </c>
      <c r="S171" s="2220">
        <f t="shared" si="74"/>
        <v>456461872659</v>
      </c>
      <c r="T171" s="2221">
        <f t="shared" ref="T171:U171" si="75">IF(Q171=0,0,R171/Q171)</f>
        <v>0.59531470610163828</v>
      </c>
      <c r="U171" s="2221">
        <f t="shared" si="75"/>
        <v>0.64637709108145003</v>
      </c>
      <c r="V171" s="2204"/>
      <c r="W171" s="2207"/>
      <c r="X171" s="2205"/>
      <c r="Y171" s="2213"/>
    </row>
    <row r="172" spans="1:25">
      <c r="A172" s="2203"/>
      <c r="B172" s="2214"/>
      <c r="C172" s="2214"/>
      <c r="D172" s="2222"/>
      <c r="E172" s="2215"/>
      <c r="F172" s="2214"/>
      <c r="G172" s="2222"/>
      <c r="H172" s="2216"/>
      <c r="I172" s="2222"/>
      <c r="J172" s="2222"/>
      <c r="K172" s="2215"/>
      <c r="L172" s="2214"/>
      <c r="M172" s="2216"/>
      <c r="N172" s="2223" t="s">
        <v>119</v>
      </c>
      <c r="O172" s="2214">
        <f>COUNTIF(O11:O169,0%)</f>
        <v>30</v>
      </c>
      <c r="P172" s="2220" t="s">
        <v>5778</v>
      </c>
      <c r="Q172" s="2220" t="s">
        <v>5779</v>
      </c>
      <c r="R172" s="2220" t="s">
        <v>5780</v>
      </c>
      <c r="S172" s="2220" t="s">
        <v>5781</v>
      </c>
      <c r="T172" s="2224"/>
      <c r="U172" s="2224"/>
      <c r="V172" s="2214"/>
      <c r="W172" s="2216"/>
      <c r="X172" s="2222"/>
      <c r="Y172" s="2225"/>
    </row>
    <row r="173" spans="1:25">
      <c r="A173" s="2203"/>
      <c r="B173" s="2207"/>
      <c r="C173" s="2204"/>
      <c r="D173" s="2206"/>
      <c r="E173" s="2207"/>
      <c r="F173" s="2207"/>
      <c r="G173" s="2207"/>
      <c r="H173" s="2207"/>
      <c r="I173" s="2226"/>
      <c r="J173" s="2204"/>
      <c r="K173" s="2206"/>
      <c r="L173" s="2206"/>
      <c r="M173" s="2206"/>
      <c r="N173" s="2227"/>
      <c r="O173" s="2204"/>
      <c r="P173" s="2228"/>
      <c r="Q173" s="2228"/>
      <c r="R173" s="2228"/>
      <c r="S173" s="2228"/>
      <c r="T173" s="2207"/>
      <c r="U173" s="2207"/>
      <c r="V173" s="2204"/>
      <c r="W173" s="2207"/>
      <c r="X173" s="2207"/>
      <c r="Y173" s="2226"/>
    </row>
    <row r="174" spans="1:25">
      <c r="A174" s="2203"/>
      <c r="B174" s="2207"/>
      <c r="C174" s="2204"/>
      <c r="D174" s="2206"/>
      <c r="E174" s="2207"/>
      <c r="F174" s="2207"/>
      <c r="G174" s="2207"/>
      <c r="H174" s="2207"/>
      <c r="I174" s="2226"/>
      <c r="J174" s="2204"/>
      <c r="K174" s="2206"/>
      <c r="L174" s="2206"/>
      <c r="M174" s="2206"/>
      <c r="N174" s="2227"/>
      <c r="O174" s="2204"/>
      <c r="P174" s="2207"/>
      <c r="Q174" s="2207"/>
      <c r="R174" s="2207"/>
      <c r="S174" s="2207"/>
      <c r="T174" s="2207"/>
      <c r="U174" s="2207"/>
      <c r="V174" s="2204"/>
      <c r="W174" s="2207"/>
      <c r="X174" s="2207"/>
      <c r="Y174" s="2226"/>
    </row>
  </sheetData>
  <autoFilter ref="A5:Y6" xr:uid="{00000000-0009-0000-0000-00000C000000}"/>
  <mergeCells count="273">
    <mergeCell ref="A166:A168"/>
    <mergeCell ref="C166:C168"/>
    <mergeCell ref="D166:D168"/>
    <mergeCell ref="O166:O168"/>
    <mergeCell ref="Y166:Y168"/>
    <mergeCell ref="Y126:Y127"/>
    <mergeCell ref="A128:A129"/>
    <mergeCell ref="C128:C129"/>
    <mergeCell ref="D128:D129"/>
    <mergeCell ref="O128:O129"/>
    <mergeCell ref="Y128:Y129"/>
    <mergeCell ref="A132:A135"/>
    <mergeCell ref="C132:C135"/>
    <mergeCell ref="D132:D135"/>
    <mergeCell ref="O132:O135"/>
    <mergeCell ref="Y132:Y135"/>
    <mergeCell ref="A148:A153"/>
    <mergeCell ref="C148:C153"/>
    <mergeCell ref="D148:D153"/>
    <mergeCell ref="O148:O153"/>
    <mergeCell ref="Y148:Y153"/>
    <mergeCell ref="A155:A157"/>
    <mergeCell ref="C155:C157"/>
    <mergeCell ref="Y110:Y111"/>
    <mergeCell ref="A112:A113"/>
    <mergeCell ref="C112:C113"/>
    <mergeCell ref="D112:D113"/>
    <mergeCell ref="O112:O113"/>
    <mergeCell ref="Y112:Y113"/>
    <mergeCell ref="A114:A115"/>
    <mergeCell ref="C114:C115"/>
    <mergeCell ref="D114:D115"/>
    <mergeCell ref="O114:O115"/>
    <mergeCell ref="Y114:Y115"/>
    <mergeCell ref="A110:A111"/>
    <mergeCell ref="C110:C111"/>
    <mergeCell ref="D110:D111"/>
    <mergeCell ref="O110:O111"/>
    <mergeCell ref="O34:O37"/>
    <mergeCell ref="Y34:Y37"/>
    <mergeCell ref="A41:A42"/>
    <mergeCell ref="C41:C42"/>
    <mergeCell ref="D41:D42"/>
    <mergeCell ref="O41:O42"/>
    <mergeCell ref="Y41:Y42"/>
    <mergeCell ref="Y72:Y73"/>
    <mergeCell ref="C75:C77"/>
    <mergeCell ref="D75:D77"/>
    <mergeCell ref="O75:O77"/>
    <mergeCell ref="Y75:Y77"/>
    <mergeCell ref="A76:A77"/>
    <mergeCell ref="D155:D157"/>
    <mergeCell ref="O155:O157"/>
    <mergeCell ref="Y155:Y157"/>
    <mergeCell ref="A159:A161"/>
    <mergeCell ref="C159:C161"/>
    <mergeCell ref="D159:D161"/>
    <mergeCell ref="O159:O161"/>
    <mergeCell ref="A138:A140"/>
    <mergeCell ref="C138:C140"/>
    <mergeCell ref="D138:D140"/>
    <mergeCell ref="O138:O140"/>
    <mergeCell ref="Y138:Y140"/>
    <mergeCell ref="A142:A145"/>
    <mergeCell ref="C142:C145"/>
    <mergeCell ref="D142:D145"/>
    <mergeCell ref="O142:O145"/>
    <mergeCell ref="Y142:Y145"/>
    <mergeCell ref="Y159:Y161"/>
    <mergeCell ref="A126:A127"/>
    <mergeCell ref="C126:C127"/>
    <mergeCell ref="D126:D127"/>
    <mergeCell ref="O126:O127"/>
    <mergeCell ref="A116:A117"/>
    <mergeCell ref="C116:C117"/>
    <mergeCell ref="D116:D117"/>
    <mergeCell ref="O116:O117"/>
    <mergeCell ref="Y116:Y117"/>
    <mergeCell ref="A118:A119"/>
    <mergeCell ref="C118:C119"/>
    <mergeCell ref="D118:D119"/>
    <mergeCell ref="O118:O119"/>
    <mergeCell ref="Y118:Y119"/>
    <mergeCell ref="A121:A123"/>
    <mergeCell ref="C121:C123"/>
    <mergeCell ref="D121:D123"/>
    <mergeCell ref="O121:O123"/>
    <mergeCell ref="Y121:Y123"/>
    <mergeCell ref="A106:A107"/>
    <mergeCell ref="C106:C107"/>
    <mergeCell ref="D106:D107"/>
    <mergeCell ref="O106:O107"/>
    <mergeCell ref="Y106:Y107"/>
    <mergeCell ref="A108:A109"/>
    <mergeCell ref="C108:C109"/>
    <mergeCell ref="D108:D109"/>
    <mergeCell ref="O108:O109"/>
    <mergeCell ref="Y108:Y109"/>
    <mergeCell ref="A103:A105"/>
    <mergeCell ref="C103:C105"/>
    <mergeCell ref="D103:D105"/>
    <mergeCell ref="O103:O105"/>
    <mergeCell ref="Y103:Y105"/>
    <mergeCell ref="G104:G105"/>
    <mergeCell ref="A99:A101"/>
    <mergeCell ref="C99:C101"/>
    <mergeCell ref="D99:D101"/>
    <mergeCell ref="O99:O101"/>
    <mergeCell ref="Y99:Y101"/>
    <mergeCell ref="A93:A95"/>
    <mergeCell ref="C93:C95"/>
    <mergeCell ref="D93:D95"/>
    <mergeCell ref="O93:O95"/>
    <mergeCell ref="Y93:Y95"/>
    <mergeCell ref="A96:A97"/>
    <mergeCell ref="C96:C97"/>
    <mergeCell ref="D96:D97"/>
    <mergeCell ref="O96:O97"/>
    <mergeCell ref="Y96:Y97"/>
    <mergeCell ref="A87:A88"/>
    <mergeCell ref="C87:C88"/>
    <mergeCell ref="D87:D88"/>
    <mergeCell ref="O87:O88"/>
    <mergeCell ref="Y87:Y88"/>
    <mergeCell ref="A89:A91"/>
    <mergeCell ref="C89:C91"/>
    <mergeCell ref="D89:D91"/>
    <mergeCell ref="O89:O91"/>
    <mergeCell ref="Y89:Y91"/>
    <mergeCell ref="A83:A84"/>
    <mergeCell ref="C83:C84"/>
    <mergeCell ref="D83:D84"/>
    <mergeCell ref="O83:O84"/>
    <mergeCell ref="Y83:Y84"/>
    <mergeCell ref="A85:A86"/>
    <mergeCell ref="C85:C86"/>
    <mergeCell ref="D85:D86"/>
    <mergeCell ref="O85:O86"/>
    <mergeCell ref="Y85:Y86"/>
    <mergeCell ref="A80:A82"/>
    <mergeCell ref="C80:C82"/>
    <mergeCell ref="D80:D82"/>
    <mergeCell ref="O80:O82"/>
    <mergeCell ref="Y80:Y81"/>
    <mergeCell ref="A65:A66"/>
    <mergeCell ref="C65:C66"/>
    <mergeCell ref="D65:D66"/>
    <mergeCell ref="O65:O66"/>
    <mergeCell ref="Y65:Y66"/>
    <mergeCell ref="A67:A68"/>
    <mergeCell ref="C67:C68"/>
    <mergeCell ref="D67:D68"/>
    <mergeCell ref="O67:O68"/>
    <mergeCell ref="Y67:Y68"/>
    <mergeCell ref="A72:A73"/>
    <mergeCell ref="C72:C73"/>
    <mergeCell ref="D72:D73"/>
    <mergeCell ref="O72:O73"/>
    <mergeCell ref="A78:A79"/>
    <mergeCell ref="C78:C79"/>
    <mergeCell ref="D78:D79"/>
    <mergeCell ref="O78:O79"/>
    <mergeCell ref="Y78:Y79"/>
    <mergeCell ref="A61:A62"/>
    <mergeCell ref="C61:C62"/>
    <mergeCell ref="D61:D62"/>
    <mergeCell ref="O61:O62"/>
    <mergeCell ref="Y61:Y62"/>
    <mergeCell ref="A63:A64"/>
    <mergeCell ref="C63:C64"/>
    <mergeCell ref="D63:D64"/>
    <mergeCell ref="O63:O64"/>
    <mergeCell ref="Y63:Y64"/>
    <mergeCell ref="A57:A58"/>
    <mergeCell ref="C57:C58"/>
    <mergeCell ref="D57:D58"/>
    <mergeCell ref="O57:O58"/>
    <mergeCell ref="Y57:Y58"/>
    <mergeCell ref="A59:A60"/>
    <mergeCell ref="C59:C60"/>
    <mergeCell ref="D59:D60"/>
    <mergeCell ref="O59:O60"/>
    <mergeCell ref="Y59:Y60"/>
    <mergeCell ref="A53:A54"/>
    <mergeCell ref="C53:C54"/>
    <mergeCell ref="D53:D54"/>
    <mergeCell ref="O53:O54"/>
    <mergeCell ref="Y53:Y54"/>
    <mergeCell ref="A55:A56"/>
    <mergeCell ref="C55:C56"/>
    <mergeCell ref="D55:D56"/>
    <mergeCell ref="O55:O56"/>
    <mergeCell ref="Y55:Y56"/>
    <mergeCell ref="A49:A50"/>
    <mergeCell ref="C49:C50"/>
    <mergeCell ref="D49:D50"/>
    <mergeCell ref="O49:O50"/>
    <mergeCell ref="Y49:Y50"/>
    <mergeCell ref="A51:A52"/>
    <mergeCell ref="C51:C52"/>
    <mergeCell ref="D51:D52"/>
    <mergeCell ref="O51:O52"/>
    <mergeCell ref="Y51:Y52"/>
    <mergeCell ref="A45:A46"/>
    <mergeCell ref="C45:C46"/>
    <mergeCell ref="D45:D46"/>
    <mergeCell ref="O45:O46"/>
    <mergeCell ref="Y45:Y46"/>
    <mergeCell ref="A47:A48"/>
    <mergeCell ref="C47:C48"/>
    <mergeCell ref="D47:D48"/>
    <mergeCell ref="O47:O48"/>
    <mergeCell ref="Y47:Y48"/>
    <mergeCell ref="A43:A44"/>
    <mergeCell ref="C43:C44"/>
    <mergeCell ref="D43:D44"/>
    <mergeCell ref="O43:O44"/>
    <mergeCell ref="Y43:Y44"/>
    <mergeCell ref="Y17:Y19"/>
    <mergeCell ref="A11:A12"/>
    <mergeCell ref="C11:C12"/>
    <mergeCell ref="D11:D12"/>
    <mergeCell ref="O11:O12"/>
    <mergeCell ref="Y11:Y12"/>
    <mergeCell ref="A22:A24"/>
    <mergeCell ref="C22:C24"/>
    <mergeCell ref="D22:D24"/>
    <mergeCell ref="O22:O24"/>
    <mergeCell ref="Y22:Y24"/>
    <mergeCell ref="A27:A30"/>
    <mergeCell ref="C27:C30"/>
    <mergeCell ref="D27:D30"/>
    <mergeCell ref="O27:O30"/>
    <mergeCell ref="Y27:Y30"/>
    <mergeCell ref="A34:A37"/>
    <mergeCell ref="C34:C37"/>
    <mergeCell ref="D34:D37"/>
    <mergeCell ref="J5:J6"/>
    <mergeCell ref="K5:K6"/>
    <mergeCell ref="L5:L6"/>
    <mergeCell ref="M5:M6"/>
    <mergeCell ref="N5:N6"/>
    <mergeCell ref="O5:O6"/>
    <mergeCell ref="P5:P6"/>
    <mergeCell ref="A5:A6"/>
    <mergeCell ref="B5:B6"/>
    <mergeCell ref="C5:C6"/>
    <mergeCell ref="D5:D6"/>
    <mergeCell ref="E5:E6"/>
    <mergeCell ref="A17:A19"/>
    <mergeCell ref="D17:D19"/>
    <mergeCell ref="O17:O19"/>
    <mergeCell ref="C17:C19"/>
    <mergeCell ref="A1:X1"/>
    <mergeCell ref="A4:Y4"/>
    <mergeCell ref="V3:W3"/>
    <mergeCell ref="A2:Y2"/>
    <mergeCell ref="S3:U3"/>
    <mergeCell ref="A3:B3"/>
    <mergeCell ref="C3:R3"/>
    <mergeCell ref="X5:X6"/>
    <mergeCell ref="Y5:Y6"/>
    <mergeCell ref="S5:S6"/>
    <mergeCell ref="T5:T6"/>
    <mergeCell ref="U5:U6"/>
    <mergeCell ref="V5:V6"/>
    <mergeCell ref="W5:W6"/>
    <mergeCell ref="F5:F6"/>
    <mergeCell ref="G5:G6"/>
    <mergeCell ref="Q5:Q6"/>
    <mergeCell ref="R5:R6"/>
    <mergeCell ref="H5:H6"/>
    <mergeCell ref="I5:I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Y301"/>
  <sheetViews>
    <sheetView topLeftCell="A222" zoomScale="70" zoomScaleNormal="70" zoomScaleSheetLayoutView="100" workbookViewId="0">
      <selection activeCell="C225" sqref="C225"/>
    </sheetView>
  </sheetViews>
  <sheetFormatPr baseColWidth="10" defaultColWidth="11.42578125" defaultRowHeight="16.5"/>
  <cols>
    <col min="1" max="1" width="12" style="2" customWidth="1"/>
    <col min="2" max="2" width="13.28515625" style="2" customWidth="1"/>
    <col min="3" max="3" width="8.42578125" style="2" customWidth="1"/>
    <col min="4" max="4" width="26" style="3" customWidth="1"/>
    <col min="5" max="5" width="17.85546875" style="3" customWidth="1"/>
    <col min="6" max="6" width="10" style="3" customWidth="1"/>
    <col min="7" max="7" width="24.28515625" style="3" customWidth="1"/>
    <col min="8" max="8" width="14.140625" style="3" customWidth="1"/>
    <col min="9" max="9" width="18.42578125" style="3" customWidth="1"/>
    <col min="10" max="10" width="18.85546875" style="2" customWidth="1"/>
    <col min="11" max="11" width="15.28515625" style="16" customWidth="1"/>
    <col min="12" max="12" width="12.42578125" style="16" customWidth="1"/>
    <col min="13" max="13" width="13.140625" style="16" customWidth="1"/>
    <col min="14" max="14" width="13.42578125" style="3" customWidth="1"/>
    <col min="15" max="15" width="10.28515625" style="2" customWidth="1"/>
    <col min="16" max="16" width="19.7109375" style="3" customWidth="1"/>
    <col min="17" max="17" width="19.42578125" style="3" customWidth="1"/>
    <col min="18" max="18" width="19.28515625" style="3" customWidth="1"/>
    <col min="19" max="19" width="20.7109375" style="3" customWidth="1"/>
    <col min="20" max="20" width="18.42578125" style="3" customWidth="1"/>
    <col min="21" max="21" width="10.140625" style="3" customWidth="1"/>
    <col min="22" max="22" width="14.7109375" style="3" customWidth="1"/>
    <col min="23" max="23" width="11.7109375" style="3" customWidth="1"/>
    <col min="24" max="24" width="50.42578125" style="3" customWidth="1"/>
    <col min="25" max="25" width="17.140625" style="17" customWidth="1"/>
    <col min="26" max="26" width="13.85546875" style="3" bestFit="1" customWidth="1"/>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ht="25.5" customHeight="1">
      <c r="A2" s="2951"/>
      <c r="B2" s="2952"/>
      <c r="C2" s="2952"/>
      <c r="D2" s="2952"/>
      <c r="E2" s="2952"/>
      <c r="F2" s="2952"/>
      <c r="G2" s="2952"/>
      <c r="H2" s="2952"/>
      <c r="I2" s="2952"/>
      <c r="J2" s="2952"/>
      <c r="K2" s="2952"/>
      <c r="L2" s="2952"/>
      <c r="M2" s="2952"/>
      <c r="N2" s="2952"/>
      <c r="O2" s="2952"/>
      <c r="P2" s="2952"/>
      <c r="Q2" s="2952"/>
      <c r="R2" s="2952"/>
      <c r="S2" s="2952"/>
      <c r="T2" s="2952"/>
      <c r="U2" s="2952"/>
      <c r="V2" s="2952"/>
      <c r="W2" s="2952"/>
      <c r="X2" s="2952"/>
      <c r="Y2" s="2953"/>
    </row>
    <row r="3" spans="1:25" s="27" customFormat="1" ht="24.95" customHeight="1">
      <c r="A3" s="2954" t="s">
        <v>73</v>
      </c>
      <c r="B3" s="2954"/>
      <c r="C3" s="2954" t="s">
        <v>41</v>
      </c>
      <c r="D3" s="2954"/>
      <c r="E3" s="2954"/>
      <c r="F3" s="2954"/>
      <c r="G3" s="2954"/>
      <c r="H3" s="2954"/>
      <c r="I3" s="2954"/>
      <c r="J3" s="2954"/>
      <c r="K3" s="2954"/>
      <c r="L3" s="2954"/>
      <c r="M3" s="2954"/>
      <c r="N3" s="2954"/>
      <c r="O3" s="2954"/>
      <c r="P3" s="2954"/>
      <c r="Q3" s="2954"/>
      <c r="R3" s="2954"/>
      <c r="S3" s="2834" t="s">
        <v>17</v>
      </c>
      <c r="T3" s="2834"/>
      <c r="U3" s="2834"/>
      <c r="V3" s="2835">
        <v>45473</v>
      </c>
      <c r="W3" s="2834"/>
      <c r="X3" s="40" t="s">
        <v>5</v>
      </c>
      <c r="Y3" s="42">
        <v>2024</v>
      </c>
    </row>
    <row r="4" spans="1:25" ht="25.5" customHeight="1">
      <c r="A4" s="2950"/>
      <c r="B4" s="2950"/>
      <c r="C4" s="2950"/>
      <c r="D4" s="2950"/>
      <c r="E4" s="2950"/>
      <c r="F4" s="2950"/>
      <c r="G4" s="2950"/>
      <c r="H4" s="2950"/>
      <c r="I4" s="2950"/>
      <c r="J4" s="2950"/>
      <c r="K4" s="2950"/>
      <c r="L4" s="2950"/>
      <c r="M4" s="2950"/>
      <c r="N4" s="2950"/>
      <c r="O4" s="2950"/>
      <c r="P4" s="2950"/>
      <c r="Q4" s="2950"/>
      <c r="R4" s="2950"/>
      <c r="S4" s="2950"/>
      <c r="T4" s="2950"/>
      <c r="U4" s="2950"/>
      <c r="V4" s="2950"/>
      <c r="W4" s="2950"/>
      <c r="X4" s="2950"/>
      <c r="Y4" s="2950"/>
    </row>
    <row r="5" spans="1:25" s="113" customFormat="1" ht="53.25" customHeight="1">
      <c r="A5" s="3036" t="s">
        <v>74</v>
      </c>
      <c r="B5" s="3036" t="s">
        <v>4</v>
      </c>
      <c r="C5" s="3036" t="s">
        <v>3</v>
      </c>
      <c r="D5" s="3036" t="s">
        <v>94</v>
      </c>
      <c r="E5" s="3036" t="s">
        <v>2</v>
      </c>
      <c r="F5" s="3036" t="s">
        <v>75</v>
      </c>
      <c r="G5" s="3036" t="s">
        <v>92</v>
      </c>
      <c r="H5" s="3036" t="s">
        <v>93</v>
      </c>
      <c r="I5" s="3036" t="s">
        <v>8</v>
      </c>
      <c r="J5" s="3036" t="s">
        <v>9</v>
      </c>
      <c r="K5" s="3036" t="s">
        <v>10</v>
      </c>
      <c r="L5" s="3036" t="s">
        <v>11</v>
      </c>
      <c r="M5" s="3035" t="s">
        <v>86</v>
      </c>
      <c r="N5" s="3035" t="s">
        <v>12</v>
      </c>
      <c r="O5" s="3035" t="s">
        <v>72</v>
      </c>
      <c r="P5" s="3037" t="s">
        <v>1</v>
      </c>
      <c r="Q5" s="3035" t="s">
        <v>13</v>
      </c>
      <c r="R5" s="3035" t="s">
        <v>14</v>
      </c>
      <c r="S5" s="3035" t="s">
        <v>16</v>
      </c>
      <c r="T5" s="3035" t="s">
        <v>15</v>
      </c>
      <c r="U5" s="3035" t="s">
        <v>89</v>
      </c>
      <c r="V5" s="3037" t="s">
        <v>6</v>
      </c>
      <c r="W5" s="3037" t="s">
        <v>7</v>
      </c>
      <c r="X5" s="3035" t="s">
        <v>0</v>
      </c>
      <c r="Y5" s="3038" t="s">
        <v>76</v>
      </c>
    </row>
    <row r="6" spans="1:25" s="113" customFormat="1" ht="42.75" customHeight="1">
      <c r="A6" s="3036"/>
      <c r="B6" s="3036"/>
      <c r="C6" s="3036"/>
      <c r="D6" s="3036"/>
      <c r="E6" s="3036"/>
      <c r="F6" s="3036"/>
      <c r="G6" s="3036"/>
      <c r="H6" s="3036"/>
      <c r="I6" s="3036"/>
      <c r="J6" s="3036"/>
      <c r="K6" s="3036"/>
      <c r="L6" s="3036"/>
      <c r="M6" s="3035"/>
      <c r="N6" s="3035"/>
      <c r="O6" s="3035"/>
      <c r="P6" s="3037"/>
      <c r="Q6" s="3035"/>
      <c r="R6" s="3035"/>
      <c r="S6" s="3035"/>
      <c r="T6" s="3035"/>
      <c r="U6" s="3035"/>
      <c r="V6" s="3037"/>
      <c r="W6" s="3037"/>
      <c r="X6" s="3035"/>
      <c r="Y6" s="3038"/>
    </row>
    <row r="7" spans="1:25">
      <c r="A7" s="2309"/>
      <c r="B7" s="2309">
        <v>51</v>
      </c>
      <c r="C7" s="2309" t="s">
        <v>100</v>
      </c>
      <c r="D7" s="2309" t="s">
        <v>1171</v>
      </c>
      <c r="E7" s="2309"/>
      <c r="F7" s="2309"/>
      <c r="G7" s="2310"/>
      <c r="H7" s="2309"/>
      <c r="I7" s="2309"/>
      <c r="J7" s="2309"/>
      <c r="K7" s="2311"/>
      <c r="L7" s="2309"/>
      <c r="M7" s="2312"/>
      <c r="N7" s="2313"/>
      <c r="O7" s="2313"/>
      <c r="P7" s="2309"/>
      <c r="Q7" s="2314"/>
      <c r="R7" s="2314"/>
      <c r="S7" s="2314"/>
      <c r="T7" s="2315"/>
      <c r="U7" s="2315"/>
      <c r="V7" s="2309"/>
      <c r="W7" s="2309"/>
      <c r="X7" s="2316"/>
      <c r="Y7" s="2309"/>
    </row>
    <row r="8" spans="1:25">
      <c r="A8" s="2317"/>
      <c r="B8" s="2309">
        <v>5101</v>
      </c>
      <c r="C8" s="2309" t="s">
        <v>101</v>
      </c>
      <c r="D8" s="2309" t="s">
        <v>1468</v>
      </c>
      <c r="E8" s="2317"/>
      <c r="F8" s="2317"/>
      <c r="G8" s="2310"/>
      <c r="H8" s="2317"/>
      <c r="I8" s="2317"/>
      <c r="J8" s="2317"/>
      <c r="K8" s="2318"/>
      <c r="L8" s="2317"/>
      <c r="M8" s="2319"/>
      <c r="N8" s="2320"/>
      <c r="O8" s="2320"/>
      <c r="P8" s="2317"/>
      <c r="Q8" s="2321"/>
      <c r="R8" s="2321"/>
      <c r="S8" s="2321"/>
      <c r="T8" s="2322"/>
      <c r="U8" s="2322"/>
      <c r="V8" s="2317"/>
      <c r="W8" s="2317"/>
      <c r="X8" s="424"/>
      <c r="Y8" s="2317"/>
    </row>
    <row r="9" spans="1:25">
      <c r="A9" s="2317"/>
      <c r="B9" s="2317">
        <v>5101001</v>
      </c>
      <c r="C9" s="2317" t="s">
        <v>102</v>
      </c>
      <c r="D9" s="2317" t="s">
        <v>1469</v>
      </c>
      <c r="E9" s="2317"/>
      <c r="F9" s="2317"/>
      <c r="G9" s="2310"/>
      <c r="H9" s="2317"/>
      <c r="I9" s="2317"/>
      <c r="J9" s="2317"/>
      <c r="K9" s="2318"/>
      <c r="L9" s="2317"/>
      <c r="M9" s="2323"/>
      <c r="N9" s="2324"/>
      <c r="O9" s="2324"/>
      <c r="P9" s="2317"/>
      <c r="Q9" s="2325"/>
      <c r="R9" s="2325"/>
      <c r="S9" s="2325"/>
      <c r="T9" s="2326"/>
      <c r="U9" s="2326"/>
      <c r="V9" s="2317"/>
      <c r="W9" s="2317"/>
      <c r="X9" s="424"/>
      <c r="Y9" s="2317"/>
    </row>
    <row r="10" spans="1:25" ht="25.5">
      <c r="A10" s="2317"/>
      <c r="B10" s="2327">
        <v>51010010005</v>
      </c>
      <c r="C10" s="2327" t="s">
        <v>103</v>
      </c>
      <c r="D10" s="2327" t="s">
        <v>1470</v>
      </c>
      <c r="E10" s="2317"/>
      <c r="F10" s="2328"/>
      <c r="G10" s="2310"/>
      <c r="H10" s="2317"/>
      <c r="I10" s="2317"/>
      <c r="J10" s="2317"/>
      <c r="K10" s="2329"/>
      <c r="L10" s="2317"/>
      <c r="M10" s="2330"/>
      <c r="N10" s="2331"/>
      <c r="O10" s="2331"/>
      <c r="P10" s="2317"/>
      <c r="Q10" s="2332"/>
      <c r="R10" s="2332"/>
      <c r="S10" s="2332"/>
      <c r="T10" s="2333"/>
      <c r="U10" s="2333"/>
      <c r="V10" s="2317"/>
      <c r="W10" s="2317"/>
      <c r="X10" s="424"/>
      <c r="Y10" s="2317"/>
    </row>
    <row r="11" spans="1:25">
      <c r="A11" s="3039">
        <v>4145</v>
      </c>
      <c r="B11" s="3039"/>
      <c r="C11" s="3039" t="s">
        <v>109</v>
      </c>
      <c r="D11" s="3039" t="s">
        <v>1471</v>
      </c>
      <c r="E11" s="2334" t="s">
        <v>1472</v>
      </c>
      <c r="F11" s="2310"/>
      <c r="G11" s="2310"/>
      <c r="H11" s="2335"/>
      <c r="I11" s="2310"/>
      <c r="J11" s="2310"/>
      <c r="K11" s="2336">
        <f>+K12</f>
        <v>1</v>
      </c>
      <c r="L11" s="2337">
        <f>SUM(L12)</f>
        <v>1</v>
      </c>
      <c r="M11" s="2338"/>
      <c r="N11" s="2339">
        <f>SUM(N12)</f>
        <v>0</v>
      </c>
      <c r="O11" s="3041">
        <f>IF(Q11&gt;0,N11,"na")</f>
        <v>0</v>
      </c>
      <c r="P11" s="2336">
        <f>+P12</f>
        <v>405000000</v>
      </c>
      <c r="Q11" s="2340">
        <f t="shared" ref="Q11:S11" si="0">SUM(Q12)</f>
        <v>405000000</v>
      </c>
      <c r="R11" s="2340">
        <f t="shared" si="0"/>
        <v>0</v>
      </c>
      <c r="S11" s="2340">
        <f t="shared" si="0"/>
        <v>0</v>
      </c>
      <c r="T11" s="2341">
        <f t="shared" ref="T11:U12" si="1">IF(Q11=0,0,R11/Q11)</f>
        <v>0</v>
      </c>
      <c r="U11" s="2341">
        <f t="shared" si="1"/>
        <v>0</v>
      </c>
      <c r="V11" s="2342"/>
      <c r="W11" s="2342"/>
      <c r="X11" s="424"/>
      <c r="Y11" s="2310"/>
    </row>
    <row r="12" spans="1:25" ht="27">
      <c r="A12" s="3040"/>
      <c r="B12" s="3040"/>
      <c r="C12" s="3040"/>
      <c r="D12" s="3040"/>
      <c r="E12" s="2334" t="s">
        <v>1473</v>
      </c>
      <c r="F12" s="2310"/>
      <c r="G12" s="2334" t="s">
        <v>1474</v>
      </c>
      <c r="H12" s="2335"/>
      <c r="I12" s="2334" t="s">
        <v>1475</v>
      </c>
      <c r="J12" s="2334" t="s">
        <v>125</v>
      </c>
      <c r="K12" s="2336">
        <v>1</v>
      </c>
      <c r="L12" s="2337">
        <v>1</v>
      </c>
      <c r="M12" s="2340">
        <v>0</v>
      </c>
      <c r="N12" s="2339">
        <v>0</v>
      </c>
      <c r="O12" s="2824"/>
      <c r="P12" s="2336">
        <v>405000000</v>
      </c>
      <c r="Q12" s="2340">
        <v>405000000</v>
      </c>
      <c r="R12" s="896">
        <v>0</v>
      </c>
      <c r="S12" s="896">
        <v>0</v>
      </c>
      <c r="T12" s="2341">
        <f t="shared" si="1"/>
        <v>0</v>
      </c>
      <c r="U12" s="2341">
        <f t="shared" si="1"/>
        <v>0</v>
      </c>
      <c r="V12" s="2334"/>
      <c r="W12" s="2334"/>
      <c r="X12" s="411"/>
      <c r="Y12" s="2310" t="s">
        <v>1476</v>
      </c>
    </row>
    <row r="13" spans="1:25">
      <c r="A13" s="2310"/>
      <c r="B13" s="2343">
        <v>52</v>
      </c>
      <c r="C13" s="2343" t="s">
        <v>100</v>
      </c>
      <c r="D13" s="2309" t="s">
        <v>1477</v>
      </c>
      <c r="E13" s="2334"/>
      <c r="F13" s="2344"/>
      <c r="G13" s="2345"/>
      <c r="H13" s="2345"/>
      <c r="I13" s="2345"/>
      <c r="J13" s="2345"/>
      <c r="K13" s="2345"/>
      <c r="L13" s="2345"/>
      <c r="M13" s="2319"/>
      <c r="N13" s="2320"/>
      <c r="O13" s="2320"/>
      <c r="P13" s="2346"/>
      <c r="Q13" s="2321"/>
      <c r="R13" s="2321"/>
      <c r="S13" s="2321"/>
      <c r="T13" s="2347"/>
      <c r="U13" s="2347"/>
      <c r="V13" s="2334"/>
      <c r="W13" s="2334"/>
      <c r="X13" s="411"/>
      <c r="Y13" s="2348"/>
    </row>
    <row r="14" spans="1:25">
      <c r="A14" s="2348"/>
      <c r="B14" s="2343">
        <v>5201</v>
      </c>
      <c r="C14" s="2343" t="s">
        <v>101</v>
      </c>
      <c r="D14" s="2309" t="s">
        <v>1478</v>
      </c>
      <c r="E14" s="2334"/>
      <c r="F14" s="2344"/>
      <c r="G14" s="2345"/>
      <c r="H14" s="2345"/>
      <c r="I14" s="2345"/>
      <c r="J14" s="2345"/>
      <c r="K14" s="2345"/>
      <c r="L14" s="2345"/>
      <c r="M14" s="2319"/>
      <c r="N14" s="2320"/>
      <c r="O14" s="2320"/>
      <c r="P14" s="2346"/>
      <c r="Q14" s="2321"/>
      <c r="R14" s="2321"/>
      <c r="S14" s="2321"/>
      <c r="T14" s="2347"/>
      <c r="U14" s="2347"/>
      <c r="V14" s="2334"/>
      <c r="W14" s="2334"/>
      <c r="X14" s="411"/>
      <c r="Y14" s="2348"/>
    </row>
    <row r="15" spans="1:25" ht="33">
      <c r="A15" s="2348"/>
      <c r="B15" s="2349">
        <v>5201002</v>
      </c>
      <c r="C15" s="2349" t="s">
        <v>102</v>
      </c>
      <c r="D15" s="2317" t="s">
        <v>1479</v>
      </c>
      <c r="E15" s="2350"/>
      <c r="F15" s="2327"/>
      <c r="G15" s="2334"/>
      <c r="H15" s="2334"/>
      <c r="I15" s="2351"/>
      <c r="J15" s="2352"/>
      <c r="K15" s="2353"/>
      <c r="L15" s="2353"/>
      <c r="M15" s="2323"/>
      <c r="N15" s="2354"/>
      <c r="O15" s="2354"/>
      <c r="P15" s="2355"/>
      <c r="Q15" s="2325"/>
      <c r="R15" s="2325"/>
      <c r="S15" s="2325"/>
      <c r="T15" s="2356"/>
      <c r="U15" s="2356"/>
      <c r="V15" s="2357"/>
      <c r="W15" s="2357"/>
      <c r="X15" s="411"/>
      <c r="Y15" s="2348"/>
    </row>
    <row r="16" spans="1:25" ht="76.5">
      <c r="A16" s="2348"/>
      <c r="B16" s="2358">
        <v>52010020009</v>
      </c>
      <c r="C16" s="2358" t="s">
        <v>103</v>
      </c>
      <c r="D16" s="2359" t="s">
        <v>1480</v>
      </c>
      <c r="E16" s="2360"/>
      <c r="F16" s="2361"/>
      <c r="G16" s="2345"/>
      <c r="H16" s="2362"/>
      <c r="I16" s="2345"/>
      <c r="J16" s="2345"/>
      <c r="K16" s="2353"/>
      <c r="L16" s="2353"/>
      <c r="M16" s="2330"/>
      <c r="N16" s="2363"/>
      <c r="O16" s="2363"/>
      <c r="P16" s="2355"/>
      <c r="Q16" s="2332"/>
      <c r="R16" s="2332"/>
      <c r="S16" s="2332"/>
      <c r="T16" s="2364"/>
      <c r="U16" s="2364"/>
      <c r="V16" s="2357"/>
      <c r="W16" s="2357"/>
      <c r="X16" s="411"/>
      <c r="Y16" s="2348"/>
    </row>
    <row r="17" spans="1:25">
      <c r="A17" s="3043">
        <v>4145</v>
      </c>
      <c r="B17" s="3044"/>
      <c r="C17" s="3043" t="s">
        <v>109</v>
      </c>
      <c r="D17" s="3039" t="s">
        <v>1481</v>
      </c>
      <c r="E17" s="2365" t="s">
        <v>1482</v>
      </c>
      <c r="F17" s="2334"/>
      <c r="G17" s="2366"/>
      <c r="H17" s="2367"/>
      <c r="I17" s="2366"/>
      <c r="J17" s="2368"/>
      <c r="K17" s="2369">
        <f>SUM(K18,K19,K21)</f>
        <v>1695</v>
      </c>
      <c r="L17" s="2370">
        <f>SUM(L18:L19)</f>
        <v>1</v>
      </c>
      <c r="M17" s="424"/>
      <c r="N17" s="2341">
        <f>SUM(N18:N19)</f>
        <v>8.5923076923076921E-2</v>
      </c>
      <c r="O17" s="3041">
        <f>IF(Q17&gt;0,N17,"na")</f>
        <v>8.5923076923076921E-2</v>
      </c>
      <c r="P17" s="2369">
        <f t="shared" ref="P17:S17" si="2">SUM(P18:P19)</f>
        <v>809000000</v>
      </c>
      <c r="Q17" s="896">
        <f t="shared" si="2"/>
        <v>964151015</v>
      </c>
      <c r="R17" s="896">
        <f t="shared" si="2"/>
        <v>705438500</v>
      </c>
      <c r="S17" s="896">
        <f t="shared" si="2"/>
        <v>0</v>
      </c>
      <c r="T17" s="2341">
        <f t="shared" ref="T17:U22" si="3">IF(Q17=0,0,R17/Q17)</f>
        <v>0.73166805720782235</v>
      </c>
      <c r="U17" s="2341">
        <f t="shared" si="3"/>
        <v>0</v>
      </c>
      <c r="V17" s="2342">
        <v>45383</v>
      </c>
      <c r="W17" s="2342">
        <v>45657</v>
      </c>
      <c r="X17" s="411"/>
      <c r="Y17" s="3039" t="s">
        <v>1483</v>
      </c>
    </row>
    <row r="18" spans="1:25" ht="67.5">
      <c r="A18" s="3042"/>
      <c r="B18" s="3042"/>
      <c r="C18" s="3042"/>
      <c r="D18" s="3042"/>
      <c r="E18" s="2365" t="s">
        <v>1484</v>
      </c>
      <c r="F18" s="2334"/>
      <c r="G18" s="2371" t="s">
        <v>1485</v>
      </c>
      <c r="H18" s="2367"/>
      <c r="I18" s="2371" t="s">
        <v>1486</v>
      </c>
      <c r="J18" s="2371" t="s">
        <v>106</v>
      </c>
      <c r="K18" s="2369">
        <v>1000</v>
      </c>
      <c r="L18" s="2370">
        <v>0.39</v>
      </c>
      <c r="M18" s="424">
        <v>100</v>
      </c>
      <c r="N18" s="2372">
        <v>3.9E-2</v>
      </c>
      <c r="O18" s="2824"/>
      <c r="P18" s="896">
        <v>319085500</v>
      </c>
      <c r="Q18" s="896">
        <v>319085500</v>
      </c>
      <c r="R18" s="896">
        <v>260548000</v>
      </c>
      <c r="S18" s="896">
        <v>0</v>
      </c>
      <c r="T18" s="2341">
        <f t="shared" si="3"/>
        <v>0.81654603546698301</v>
      </c>
      <c r="U18" s="2341">
        <f t="shared" si="3"/>
        <v>0</v>
      </c>
      <c r="V18" s="2373">
        <v>45383</v>
      </c>
      <c r="W18" s="2373">
        <v>45657</v>
      </c>
      <c r="X18" s="411" t="s">
        <v>5013</v>
      </c>
      <c r="Y18" s="3042"/>
    </row>
    <row r="19" spans="1:25" ht="67.5">
      <c r="A19" s="3040"/>
      <c r="B19" s="3040"/>
      <c r="C19" s="3040"/>
      <c r="D19" s="3040"/>
      <c r="E19" s="2365" t="s">
        <v>1487</v>
      </c>
      <c r="F19" s="2334"/>
      <c r="G19" s="2366"/>
      <c r="H19" s="2367"/>
      <c r="I19" s="2371" t="s">
        <v>1488</v>
      </c>
      <c r="J19" s="2371" t="s">
        <v>1489</v>
      </c>
      <c r="K19" s="2369">
        <v>650</v>
      </c>
      <c r="L19" s="2370">
        <v>0.61</v>
      </c>
      <c r="M19" s="424">
        <v>50</v>
      </c>
      <c r="N19" s="2372">
        <v>4.6923076923076922E-2</v>
      </c>
      <c r="O19" s="2825"/>
      <c r="P19" s="896">
        <v>489914500</v>
      </c>
      <c r="Q19" s="896">
        <v>645065515</v>
      </c>
      <c r="R19" s="896">
        <v>444890500</v>
      </c>
      <c r="S19" s="896">
        <v>0</v>
      </c>
      <c r="T19" s="2341">
        <f t="shared" si="3"/>
        <v>0.68968265959776198</v>
      </c>
      <c r="U19" s="2341">
        <f t="shared" si="3"/>
        <v>0</v>
      </c>
      <c r="V19" s="2373">
        <v>45383</v>
      </c>
      <c r="W19" s="2373">
        <v>45657</v>
      </c>
      <c r="X19" s="411" t="s">
        <v>5014</v>
      </c>
      <c r="Y19" s="3040"/>
    </row>
    <row r="20" spans="1:25">
      <c r="A20" s="3043">
        <v>4145</v>
      </c>
      <c r="B20" s="3044"/>
      <c r="C20" s="3043" t="s">
        <v>109</v>
      </c>
      <c r="D20" s="3039" t="s">
        <v>1490</v>
      </c>
      <c r="E20" s="2365" t="s">
        <v>1491</v>
      </c>
      <c r="F20" s="2334"/>
      <c r="G20" s="2366"/>
      <c r="H20" s="2367"/>
      <c r="I20" s="2366"/>
      <c r="J20" s="2368"/>
      <c r="K20" s="2362"/>
      <c r="L20" s="2370">
        <f>SUM(L21:L22)</f>
        <v>1</v>
      </c>
      <c r="M20" s="424">
        <v>0</v>
      </c>
      <c r="N20" s="2341">
        <f>SUM(N21:N22)</f>
        <v>0</v>
      </c>
      <c r="O20" s="3041">
        <f>IF(Q20&gt;0,N20,"na")</f>
        <v>0</v>
      </c>
      <c r="P20" s="896">
        <f t="shared" ref="P20:S20" si="4">SUM(P21:P22)</f>
        <v>71349352</v>
      </c>
      <c r="Q20" s="896">
        <f t="shared" si="4"/>
        <v>71349352</v>
      </c>
      <c r="R20" s="896">
        <f t="shared" si="4"/>
        <v>71349352</v>
      </c>
      <c r="S20" s="896">
        <f t="shared" si="4"/>
        <v>0</v>
      </c>
      <c r="T20" s="2341">
        <f t="shared" si="3"/>
        <v>1</v>
      </c>
      <c r="U20" s="2341">
        <f t="shared" si="3"/>
        <v>0</v>
      </c>
      <c r="V20" s="2342"/>
      <c r="W20" s="2342"/>
      <c r="X20" s="411"/>
      <c r="Y20" s="3039" t="s">
        <v>1492</v>
      </c>
    </row>
    <row r="21" spans="1:25" ht="54">
      <c r="A21" s="3042"/>
      <c r="B21" s="3042"/>
      <c r="C21" s="3042"/>
      <c r="D21" s="3042"/>
      <c r="E21" s="2365" t="s">
        <v>1493</v>
      </c>
      <c r="F21" s="2334"/>
      <c r="G21" s="2366" t="s">
        <v>1494</v>
      </c>
      <c r="H21" s="2367"/>
      <c r="I21" s="2371" t="s">
        <v>1495</v>
      </c>
      <c r="J21" s="2371" t="s">
        <v>106</v>
      </c>
      <c r="K21" s="2369">
        <v>45</v>
      </c>
      <c r="L21" s="2370">
        <v>0.97</v>
      </c>
      <c r="M21" s="424">
        <v>0</v>
      </c>
      <c r="N21" s="2372">
        <v>0</v>
      </c>
      <c r="O21" s="2824"/>
      <c r="P21" s="896">
        <v>68900752</v>
      </c>
      <c r="Q21" s="896">
        <v>68900752</v>
      </c>
      <c r="R21" s="896">
        <v>68900752</v>
      </c>
      <c r="S21" s="896">
        <v>0</v>
      </c>
      <c r="T21" s="2341">
        <f t="shared" si="3"/>
        <v>1</v>
      </c>
      <c r="U21" s="2341">
        <f t="shared" si="3"/>
        <v>0</v>
      </c>
      <c r="V21" s="2373"/>
      <c r="W21" s="2373"/>
      <c r="X21" s="411" t="s">
        <v>5015</v>
      </c>
      <c r="Y21" s="3042"/>
    </row>
    <row r="22" spans="1:25" ht="54">
      <c r="A22" s="3040"/>
      <c r="B22" s="3040"/>
      <c r="C22" s="3040"/>
      <c r="D22" s="3040"/>
      <c r="E22" s="2365" t="s">
        <v>1496</v>
      </c>
      <c r="F22" s="2334"/>
      <c r="G22" s="2368"/>
      <c r="H22" s="2346"/>
      <c r="I22" s="2371" t="s">
        <v>1497</v>
      </c>
      <c r="J22" s="2371" t="s">
        <v>1498</v>
      </c>
      <c r="K22" s="2369">
        <v>1</v>
      </c>
      <c r="L22" s="2370">
        <v>0.03</v>
      </c>
      <c r="M22" s="424">
        <v>0</v>
      </c>
      <c r="N22" s="2339">
        <v>0</v>
      </c>
      <c r="O22" s="2825"/>
      <c r="P22" s="896">
        <v>2448600</v>
      </c>
      <c r="Q22" s="896">
        <v>2448600</v>
      </c>
      <c r="R22" s="896">
        <v>2448600</v>
      </c>
      <c r="S22" s="896">
        <v>0</v>
      </c>
      <c r="T22" s="2341">
        <f t="shared" si="3"/>
        <v>1</v>
      </c>
      <c r="U22" s="2341">
        <f t="shared" si="3"/>
        <v>0</v>
      </c>
      <c r="V22" s="2373"/>
      <c r="W22" s="2373"/>
      <c r="X22" s="411" t="s">
        <v>5015</v>
      </c>
      <c r="Y22" s="3040"/>
    </row>
    <row r="23" spans="1:25" ht="33">
      <c r="A23" s="2348"/>
      <c r="B23" s="2349">
        <v>5201005</v>
      </c>
      <c r="C23" s="2374" t="s">
        <v>102</v>
      </c>
      <c r="D23" s="2317" t="s">
        <v>1499</v>
      </c>
      <c r="E23" s="2350"/>
      <c r="F23" s="2357"/>
      <c r="G23" s="2366"/>
      <c r="H23" s="2366"/>
      <c r="I23" s="2366"/>
      <c r="J23" s="2368"/>
      <c r="K23" s="2345"/>
      <c r="L23" s="2370"/>
      <c r="M23" s="392"/>
      <c r="N23" s="2356"/>
      <c r="O23" s="2356"/>
      <c r="P23" s="2362"/>
      <c r="Q23" s="2325"/>
      <c r="R23" s="2325"/>
      <c r="S23" s="2325"/>
      <c r="T23" s="2356"/>
      <c r="U23" s="2356"/>
      <c r="V23" s="2373"/>
      <c r="W23" s="2373"/>
      <c r="X23" s="411"/>
      <c r="Y23" s="2348"/>
    </row>
    <row r="24" spans="1:25" ht="38.25">
      <c r="A24" s="2348"/>
      <c r="B24" s="2358">
        <v>52010050008</v>
      </c>
      <c r="C24" s="2358" t="s">
        <v>103</v>
      </c>
      <c r="D24" s="2359" t="s">
        <v>1500</v>
      </c>
      <c r="E24" s="2350"/>
      <c r="F24" s="2327"/>
      <c r="G24" s="2334"/>
      <c r="H24" s="2334"/>
      <c r="I24" s="2351"/>
      <c r="J24" s="2352"/>
      <c r="K24" s="2353"/>
      <c r="L24" s="2353"/>
      <c r="M24" s="391"/>
      <c r="N24" s="2364"/>
      <c r="O24" s="2364"/>
      <c r="P24" s="2355"/>
      <c r="Q24" s="2332"/>
      <c r="R24" s="2332"/>
      <c r="S24" s="2332"/>
      <c r="T24" s="2364"/>
      <c r="U24" s="2364"/>
      <c r="V24" s="2357"/>
      <c r="W24" s="2357"/>
      <c r="X24" s="411"/>
      <c r="Y24" s="2348"/>
    </row>
    <row r="25" spans="1:25">
      <c r="A25" s="3046">
        <v>4145</v>
      </c>
      <c r="B25" s="3046"/>
      <c r="C25" s="3046" t="s">
        <v>109</v>
      </c>
      <c r="D25" s="3045" t="s">
        <v>1501</v>
      </c>
      <c r="E25" s="2375" t="s">
        <v>1502</v>
      </c>
      <c r="F25" s="2376"/>
      <c r="G25" s="2377"/>
      <c r="H25" s="2378"/>
      <c r="I25" s="2379"/>
      <c r="J25" s="2377"/>
      <c r="K25" s="2380">
        <f>+K28</f>
        <v>3000</v>
      </c>
      <c r="L25" s="2381">
        <f>SUM(L26:L29)</f>
        <v>1</v>
      </c>
      <c r="M25" s="2382"/>
      <c r="N25" s="2383">
        <f>SUM(N26:N29)</f>
        <v>0.154</v>
      </c>
      <c r="O25" s="3047">
        <f>IF(Q25&gt;0,N25,"na")</f>
        <v>0.154</v>
      </c>
      <c r="P25" s="2384">
        <f t="shared" ref="P25:S25" si="5">SUM(P26:P29)</f>
        <v>2593200000</v>
      </c>
      <c r="Q25" s="2385">
        <f t="shared" si="5"/>
        <v>2993200000</v>
      </c>
      <c r="R25" s="2385">
        <f t="shared" si="5"/>
        <v>1513802196</v>
      </c>
      <c r="S25" s="2385">
        <f t="shared" si="5"/>
        <v>310349000</v>
      </c>
      <c r="T25" s="2383">
        <f t="shared" ref="T25:U29" si="6">IF(Q25=0,0,R25/Q25)</f>
        <v>0.50574709207537083</v>
      </c>
      <c r="U25" s="2383">
        <f t="shared" si="6"/>
        <v>0.20501291438211125</v>
      </c>
      <c r="V25" s="2386">
        <v>45306</v>
      </c>
      <c r="W25" s="2386">
        <v>45657</v>
      </c>
      <c r="X25" s="2387"/>
      <c r="Y25" s="3045" t="s">
        <v>1492</v>
      </c>
    </row>
    <row r="26" spans="1:25" ht="94.5">
      <c r="A26" s="3042"/>
      <c r="B26" s="3042"/>
      <c r="C26" s="3042"/>
      <c r="D26" s="3042"/>
      <c r="E26" s="2365" t="s">
        <v>1503</v>
      </c>
      <c r="F26" s="2348"/>
      <c r="G26" s="2368"/>
      <c r="H26" s="2346"/>
      <c r="I26" s="2366" t="s">
        <v>1504</v>
      </c>
      <c r="J26" s="2366" t="s">
        <v>1505</v>
      </c>
      <c r="K26" s="2369">
        <v>100</v>
      </c>
      <c r="L26" s="2370">
        <v>0.3</v>
      </c>
      <c r="M26" s="409">
        <v>2</v>
      </c>
      <c r="N26" s="2339">
        <v>6.0000000000000001E-3</v>
      </c>
      <c r="O26" s="2824"/>
      <c r="P26" s="896">
        <v>790752200</v>
      </c>
      <c r="Q26" s="896">
        <v>790752200</v>
      </c>
      <c r="R26" s="896">
        <v>372634996</v>
      </c>
      <c r="S26" s="896">
        <v>148752000</v>
      </c>
      <c r="T26" s="2341">
        <f t="shared" si="6"/>
        <v>0.47124117517472602</v>
      </c>
      <c r="U26" s="2341">
        <f t="shared" si="6"/>
        <v>0.39918955974816706</v>
      </c>
      <c r="V26" s="2373">
        <v>45306</v>
      </c>
      <c r="W26" s="2373">
        <v>45657</v>
      </c>
      <c r="X26" s="411" t="s">
        <v>5016</v>
      </c>
      <c r="Y26" s="3042"/>
    </row>
    <row r="27" spans="1:25" ht="67.5">
      <c r="A27" s="3042"/>
      <c r="B27" s="3042"/>
      <c r="C27" s="3042"/>
      <c r="D27" s="3042"/>
      <c r="E27" s="2365" t="s">
        <v>1506</v>
      </c>
      <c r="F27" s="2348"/>
      <c r="G27" s="2368"/>
      <c r="H27" s="2346"/>
      <c r="I27" s="2371" t="s">
        <v>1507</v>
      </c>
      <c r="J27" s="2366" t="s">
        <v>1489</v>
      </c>
      <c r="K27" s="2369">
        <v>100</v>
      </c>
      <c r="L27" s="2370">
        <v>0.05</v>
      </c>
      <c r="M27" s="409">
        <v>40</v>
      </c>
      <c r="N27" s="2339">
        <v>0.02</v>
      </c>
      <c r="O27" s="2824"/>
      <c r="P27" s="896">
        <v>116624400</v>
      </c>
      <c r="Q27" s="896">
        <v>449660400</v>
      </c>
      <c r="R27" s="896">
        <v>23033000</v>
      </c>
      <c r="S27" s="896">
        <v>6657000</v>
      </c>
      <c r="T27" s="2341">
        <f t="shared" si="6"/>
        <v>5.1223100811189956E-2</v>
      </c>
      <c r="U27" s="2341">
        <f t="shared" si="6"/>
        <v>0.28902010159336605</v>
      </c>
      <c r="V27" s="2373">
        <v>45306</v>
      </c>
      <c r="W27" s="2373">
        <v>45657</v>
      </c>
      <c r="X27" s="411" t="s">
        <v>5017</v>
      </c>
      <c r="Y27" s="3042"/>
    </row>
    <row r="28" spans="1:25" ht="54">
      <c r="A28" s="3042"/>
      <c r="B28" s="3042"/>
      <c r="C28" s="3042"/>
      <c r="D28" s="3042"/>
      <c r="E28" s="2365" t="s">
        <v>1508</v>
      </c>
      <c r="F28" s="2348"/>
      <c r="G28" s="2366" t="s">
        <v>1509</v>
      </c>
      <c r="H28" s="2367"/>
      <c r="I28" s="2371" t="s">
        <v>1510</v>
      </c>
      <c r="J28" s="2366" t="s">
        <v>1511</v>
      </c>
      <c r="K28" s="2369">
        <v>3000</v>
      </c>
      <c r="L28" s="2370">
        <v>0.64</v>
      </c>
      <c r="M28" s="409">
        <v>600</v>
      </c>
      <c r="N28" s="2339">
        <v>0.128</v>
      </c>
      <c r="O28" s="2824"/>
      <c r="P28" s="896">
        <v>1656033722</v>
      </c>
      <c r="Q28" s="896">
        <v>1656033722</v>
      </c>
      <c r="R28" s="896">
        <v>1088344522</v>
      </c>
      <c r="S28" s="896">
        <v>154940000</v>
      </c>
      <c r="T28" s="2341">
        <f t="shared" si="6"/>
        <v>0.65719949270453326</v>
      </c>
      <c r="U28" s="2341">
        <f t="shared" si="6"/>
        <v>0.14236300809901076</v>
      </c>
      <c r="V28" s="2388">
        <v>45306</v>
      </c>
      <c r="W28" s="2388">
        <v>45657</v>
      </c>
      <c r="X28" s="411" t="s">
        <v>5018</v>
      </c>
      <c r="Y28" s="3042"/>
    </row>
    <row r="29" spans="1:25" ht="54">
      <c r="A29" s="3040"/>
      <c r="B29" s="3040"/>
      <c r="C29" s="3040"/>
      <c r="D29" s="3040"/>
      <c r="E29" s="2365" t="s">
        <v>1512</v>
      </c>
      <c r="F29" s="2366"/>
      <c r="G29" s="2368"/>
      <c r="H29" s="2346"/>
      <c r="I29" s="2389" t="s">
        <v>1513</v>
      </c>
      <c r="J29" s="2334" t="s">
        <v>1498</v>
      </c>
      <c r="K29" s="2369">
        <v>1</v>
      </c>
      <c r="L29" s="2370">
        <v>0.01</v>
      </c>
      <c r="M29" s="409">
        <v>0</v>
      </c>
      <c r="N29" s="2339">
        <v>0</v>
      </c>
      <c r="O29" s="2825"/>
      <c r="P29" s="896">
        <v>29789678</v>
      </c>
      <c r="Q29" s="896">
        <v>96753678</v>
      </c>
      <c r="R29" s="896">
        <v>29789678</v>
      </c>
      <c r="S29" s="896">
        <v>0</v>
      </c>
      <c r="T29" s="2341">
        <f t="shared" si="6"/>
        <v>0.30789194391142422</v>
      </c>
      <c r="U29" s="2341">
        <f t="shared" si="6"/>
        <v>0</v>
      </c>
      <c r="V29" s="2388">
        <v>45397</v>
      </c>
      <c r="W29" s="2388">
        <v>45626</v>
      </c>
      <c r="X29" s="2390" t="s">
        <v>5019</v>
      </c>
      <c r="Y29" s="3040"/>
    </row>
    <row r="30" spans="1:25" ht="31.5">
      <c r="A30" s="2391"/>
      <c r="B30" s="2309">
        <v>5202</v>
      </c>
      <c r="C30" s="2309" t="s">
        <v>101</v>
      </c>
      <c r="D30" s="2309" t="s">
        <v>1210</v>
      </c>
      <c r="E30" s="2350"/>
      <c r="F30" s="2392"/>
      <c r="G30" s="2389"/>
      <c r="H30" s="2389"/>
      <c r="I30" s="2393"/>
      <c r="J30" s="2352"/>
      <c r="K30" s="2362"/>
      <c r="L30" s="2388"/>
      <c r="M30" s="382"/>
      <c r="N30" s="2347"/>
      <c r="O30" s="2347"/>
      <c r="P30" s="2373"/>
      <c r="Q30" s="2321"/>
      <c r="R30" s="2321"/>
      <c r="S30" s="2321"/>
      <c r="T30" s="2347"/>
      <c r="U30" s="2347"/>
      <c r="V30" s="2310"/>
      <c r="W30" s="2394"/>
      <c r="X30" s="411"/>
      <c r="Y30" s="2348"/>
    </row>
    <row r="31" spans="1:25" ht="33">
      <c r="A31" s="2391"/>
      <c r="B31" s="2317">
        <v>5202001</v>
      </c>
      <c r="C31" s="2317" t="s">
        <v>102</v>
      </c>
      <c r="D31" s="2395" t="s">
        <v>1514</v>
      </c>
      <c r="E31" s="2350"/>
      <c r="F31" s="2392"/>
      <c r="G31" s="2389"/>
      <c r="H31" s="2389"/>
      <c r="I31" s="2393"/>
      <c r="J31" s="2352"/>
      <c r="K31" s="2362"/>
      <c r="L31" s="2388"/>
      <c r="M31" s="2396"/>
      <c r="N31" s="2397"/>
      <c r="O31" s="2397"/>
      <c r="P31" s="2373"/>
      <c r="Q31" s="2398"/>
      <c r="R31" s="2398"/>
      <c r="S31" s="2398"/>
      <c r="T31" s="2356"/>
      <c r="U31" s="2356"/>
      <c r="V31" s="2310"/>
      <c r="W31" s="2394"/>
      <c r="X31" s="411"/>
      <c r="Y31" s="2348"/>
    </row>
    <row r="32" spans="1:25" ht="38.25">
      <c r="A32" s="2391"/>
      <c r="B32" s="2358">
        <v>52020010006</v>
      </c>
      <c r="C32" s="2327" t="s">
        <v>103</v>
      </c>
      <c r="D32" s="2359" t="s">
        <v>1515</v>
      </c>
      <c r="E32" s="2350"/>
      <c r="F32" s="2399"/>
      <c r="G32" s="2389"/>
      <c r="H32" s="2389"/>
      <c r="I32" s="2393"/>
      <c r="J32" s="2352"/>
      <c r="K32" s="2362"/>
      <c r="L32" s="2388"/>
      <c r="M32" s="2400"/>
      <c r="N32" s="2401"/>
      <c r="O32" s="2401"/>
      <c r="P32" s="2373"/>
      <c r="Q32" s="2402"/>
      <c r="R32" s="2402"/>
      <c r="S32" s="2402"/>
      <c r="T32" s="2364"/>
      <c r="U32" s="2364"/>
      <c r="V32" s="2310"/>
      <c r="W32" s="2394"/>
      <c r="X32" s="411"/>
      <c r="Y32" s="2348"/>
    </row>
    <row r="33" spans="1:25">
      <c r="A33" s="3043">
        <v>4145</v>
      </c>
      <c r="B33" s="3044"/>
      <c r="C33" s="3044" t="s">
        <v>109</v>
      </c>
      <c r="D33" s="3044" t="s">
        <v>1516</v>
      </c>
      <c r="E33" s="2365" t="s">
        <v>1517</v>
      </c>
      <c r="F33" s="2310"/>
      <c r="G33" s="2334"/>
      <c r="H33" s="2367"/>
      <c r="I33" s="2351"/>
      <c r="J33" s="2352"/>
      <c r="K33" s="2369">
        <f>+K34</f>
        <v>20</v>
      </c>
      <c r="L33" s="2370">
        <f>SUM(L34:L35)</f>
        <v>1</v>
      </c>
      <c r="M33" s="2181"/>
      <c r="N33" s="2403">
        <f>SUM(N34:N35)</f>
        <v>0.22250000000000003</v>
      </c>
      <c r="O33" s="2845">
        <f>IF(Q33&gt;0,N33,"na")</f>
        <v>0.22250000000000003</v>
      </c>
      <c r="P33" s="2336">
        <f t="shared" ref="P33:S33" si="7">SUM(P34:P35)</f>
        <v>755000000</v>
      </c>
      <c r="Q33" s="2340">
        <f t="shared" si="7"/>
        <v>1055000000</v>
      </c>
      <c r="R33" s="2340">
        <f t="shared" si="7"/>
        <v>401248000</v>
      </c>
      <c r="S33" s="2340">
        <f t="shared" si="7"/>
        <v>42161000</v>
      </c>
      <c r="T33" s="2341">
        <f t="shared" ref="T33:U35" si="8">IF(Q33=0,0,R33/Q33)</f>
        <v>0.38032985781990519</v>
      </c>
      <c r="U33" s="2341">
        <f t="shared" si="8"/>
        <v>0.10507466703883882</v>
      </c>
      <c r="V33" s="2342">
        <v>45306</v>
      </c>
      <c r="W33" s="2342">
        <v>45657</v>
      </c>
      <c r="X33" s="411"/>
      <c r="Y33" s="3039" t="s">
        <v>1518</v>
      </c>
    </row>
    <row r="34" spans="1:25" ht="54">
      <c r="A34" s="3042"/>
      <c r="B34" s="3042"/>
      <c r="C34" s="3042"/>
      <c r="D34" s="3042"/>
      <c r="E34" s="2365" t="s">
        <v>1519</v>
      </c>
      <c r="F34" s="2404"/>
      <c r="G34" s="2334" t="s">
        <v>1520</v>
      </c>
      <c r="H34" s="2367"/>
      <c r="I34" s="2371" t="s">
        <v>1521</v>
      </c>
      <c r="J34" s="2371" t="s">
        <v>1522</v>
      </c>
      <c r="K34" s="2369">
        <v>20</v>
      </c>
      <c r="L34" s="2405">
        <v>0.45</v>
      </c>
      <c r="M34" s="2406">
        <v>5</v>
      </c>
      <c r="N34" s="2339">
        <v>0.1125</v>
      </c>
      <c r="O34" s="2824"/>
      <c r="P34" s="2406">
        <v>340864446</v>
      </c>
      <c r="Q34" s="2406">
        <v>340864446</v>
      </c>
      <c r="R34" s="2406">
        <v>91649500</v>
      </c>
      <c r="S34" s="2406">
        <v>4438000</v>
      </c>
      <c r="T34" s="2341">
        <f t="shared" si="8"/>
        <v>0.26887374460872931</v>
      </c>
      <c r="U34" s="2341">
        <f t="shared" si="8"/>
        <v>4.8423613876780562E-2</v>
      </c>
      <c r="V34" s="2388">
        <v>45306</v>
      </c>
      <c r="W34" s="2388">
        <v>45657</v>
      </c>
      <c r="X34" s="411" t="s">
        <v>5020</v>
      </c>
      <c r="Y34" s="3042"/>
    </row>
    <row r="35" spans="1:25" ht="81">
      <c r="A35" s="3040"/>
      <c r="B35" s="3040"/>
      <c r="C35" s="3040"/>
      <c r="D35" s="3040"/>
      <c r="E35" s="2365" t="s">
        <v>1523</v>
      </c>
      <c r="F35" s="2310"/>
      <c r="G35" s="2389"/>
      <c r="H35" s="2346"/>
      <c r="I35" s="2371" t="s">
        <v>1524</v>
      </c>
      <c r="J35" s="2407" t="s">
        <v>106</v>
      </c>
      <c r="K35" s="2369">
        <v>1000</v>
      </c>
      <c r="L35" s="2405">
        <v>0.55000000000000004</v>
      </c>
      <c r="M35" s="2406">
        <v>200</v>
      </c>
      <c r="N35" s="2339">
        <v>0.11000000000000001</v>
      </c>
      <c r="O35" s="2825"/>
      <c r="P35" s="2406">
        <v>414135554</v>
      </c>
      <c r="Q35" s="2406">
        <v>714135554</v>
      </c>
      <c r="R35" s="2406">
        <v>309598500</v>
      </c>
      <c r="S35" s="2406">
        <v>37723000</v>
      </c>
      <c r="T35" s="2341">
        <f t="shared" si="8"/>
        <v>0.43352903838197643</v>
      </c>
      <c r="U35" s="2341">
        <f t="shared" si="8"/>
        <v>0.1218449055793229</v>
      </c>
      <c r="V35" s="2388">
        <v>45306</v>
      </c>
      <c r="W35" s="2388">
        <v>45657</v>
      </c>
      <c r="X35" s="411" t="s">
        <v>5021</v>
      </c>
      <c r="Y35" s="3040"/>
    </row>
    <row r="36" spans="1:25" ht="66">
      <c r="A36" s="2348"/>
      <c r="B36" s="2374">
        <v>5202002</v>
      </c>
      <c r="C36" s="2374" t="s">
        <v>102</v>
      </c>
      <c r="D36" s="2317" t="s">
        <v>1525</v>
      </c>
      <c r="E36" s="2357"/>
      <c r="F36" s="2344"/>
      <c r="G36" s="2345"/>
      <c r="H36" s="2353"/>
      <c r="I36" s="2353"/>
      <c r="J36" s="2353"/>
      <c r="K36" s="2353"/>
      <c r="L36" s="2353"/>
      <c r="M36" s="2396"/>
      <c r="N36" s="2397"/>
      <c r="O36" s="2397"/>
      <c r="P36" s="2355"/>
      <c r="Q36" s="2398"/>
      <c r="R36" s="2398"/>
      <c r="S36" s="2398"/>
      <c r="T36" s="2356"/>
      <c r="U36" s="2356"/>
      <c r="V36" s="2357"/>
      <c r="W36" s="2357"/>
      <c r="X36" s="411"/>
      <c r="Y36" s="2348"/>
    </row>
    <row r="37" spans="1:25" ht="38.25">
      <c r="A37" s="2348"/>
      <c r="B37" s="2358">
        <v>52020020007</v>
      </c>
      <c r="C37" s="2358" t="s">
        <v>103</v>
      </c>
      <c r="D37" s="2327" t="s">
        <v>1526</v>
      </c>
      <c r="E37" s="2357"/>
      <c r="F37" s="2361"/>
      <c r="G37" s="2345"/>
      <c r="H37" s="2345"/>
      <c r="I37" s="2353"/>
      <c r="J37" s="2353"/>
      <c r="K37" s="2353"/>
      <c r="L37" s="2353"/>
      <c r="M37" s="2400"/>
      <c r="N37" s="2401"/>
      <c r="O37" s="2401"/>
      <c r="P37" s="2355"/>
      <c r="Q37" s="2402"/>
      <c r="R37" s="2402"/>
      <c r="S37" s="2402"/>
      <c r="T37" s="2364"/>
      <c r="U37" s="2364"/>
      <c r="V37" s="2357"/>
      <c r="W37" s="2357"/>
      <c r="X37" s="411"/>
      <c r="Y37" s="2348"/>
    </row>
    <row r="38" spans="1:25">
      <c r="A38" s="3043">
        <v>4145</v>
      </c>
      <c r="B38" s="3044"/>
      <c r="C38" s="3044" t="s">
        <v>109</v>
      </c>
      <c r="D38" s="3039" t="s">
        <v>1527</v>
      </c>
      <c r="E38" s="2334" t="s">
        <v>1528</v>
      </c>
      <c r="F38" s="2404"/>
      <c r="G38" s="2368"/>
      <c r="H38" s="2367"/>
      <c r="I38" s="2408"/>
      <c r="J38" s="2352"/>
      <c r="K38" s="2408">
        <f>SUM(K39)</f>
        <v>820487</v>
      </c>
      <c r="L38" s="2370">
        <f>SUM(L39:L44)</f>
        <v>1.0000000000000002</v>
      </c>
      <c r="M38" s="2409"/>
      <c r="N38" s="2410">
        <f>SUM(N39:N44)</f>
        <v>0.53430675927833116</v>
      </c>
      <c r="O38" s="2845">
        <f>IF(Q38&gt;0,N38,"na")</f>
        <v>0.53430675927833116</v>
      </c>
      <c r="P38" s="2369">
        <f t="shared" ref="P38:S38" si="9">SUM(P39:P44)</f>
        <v>1342000000</v>
      </c>
      <c r="Q38" s="2406">
        <f t="shared" si="9"/>
        <v>1442000000</v>
      </c>
      <c r="R38" s="2406">
        <f t="shared" si="9"/>
        <v>647625500</v>
      </c>
      <c r="S38" s="2406">
        <f t="shared" si="9"/>
        <v>397218500</v>
      </c>
      <c r="T38" s="2341">
        <f t="shared" ref="T38:U44" si="10">IF(Q38=0,0,R38/Q38)</f>
        <v>0.44911615811373096</v>
      </c>
      <c r="U38" s="2341">
        <f t="shared" si="10"/>
        <v>0.61334598467787327</v>
      </c>
      <c r="V38" s="2342">
        <v>45306</v>
      </c>
      <c r="W38" s="2342">
        <v>45657</v>
      </c>
      <c r="X38" s="411"/>
      <c r="Y38" s="3039" t="s">
        <v>1518</v>
      </c>
    </row>
    <row r="39" spans="1:25" ht="54">
      <c r="A39" s="3042"/>
      <c r="B39" s="3042"/>
      <c r="C39" s="3042"/>
      <c r="D39" s="3042"/>
      <c r="E39" s="2334" t="s">
        <v>1529</v>
      </c>
      <c r="F39" s="2310"/>
      <c r="G39" s="2334" t="s">
        <v>1530</v>
      </c>
      <c r="H39" s="2367"/>
      <c r="I39" s="2407" t="s">
        <v>1531</v>
      </c>
      <c r="J39" s="2334" t="s">
        <v>1532</v>
      </c>
      <c r="K39" s="2411">
        <v>820487</v>
      </c>
      <c r="L39" s="2370">
        <v>0.3</v>
      </c>
      <c r="M39" s="410">
        <v>504071</v>
      </c>
      <c r="N39" s="2339">
        <v>0.18430675927833104</v>
      </c>
      <c r="O39" s="2824"/>
      <c r="P39" s="896">
        <v>147385600</v>
      </c>
      <c r="Q39" s="896">
        <v>147385600</v>
      </c>
      <c r="R39" s="896">
        <v>99844000</v>
      </c>
      <c r="S39" s="896">
        <v>45994000</v>
      </c>
      <c r="T39" s="2341">
        <f t="shared" si="10"/>
        <v>0.67743388770680446</v>
      </c>
      <c r="U39" s="2341">
        <f t="shared" si="10"/>
        <v>0.46065862745883579</v>
      </c>
      <c r="V39" s="2373">
        <v>45306</v>
      </c>
      <c r="W39" s="2373">
        <v>45657</v>
      </c>
      <c r="X39" s="2390" t="s">
        <v>5022</v>
      </c>
      <c r="Y39" s="3042"/>
    </row>
    <row r="40" spans="1:25" ht="67.5">
      <c r="A40" s="3042"/>
      <c r="B40" s="3042"/>
      <c r="C40" s="3042"/>
      <c r="D40" s="3042"/>
      <c r="E40" s="2334" t="s">
        <v>1533</v>
      </c>
      <c r="F40" s="2310"/>
      <c r="G40" s="2389"/>
      <c r="H40" s="2346"/>
      <c r="I40" s="2407" t="s">
        <v>1534</v>
      </c>
      <c r="J40" s="2334" t="s">
        <v>1535</v>
      </c>
      <c r="K40" s="2351">
        <v>150</v>
      </c>
      <c r="L40" s="2370">
        <v>0.3</v>
      </c>
      <c r="M40" s="410">
        <v>75</v>
      </c>
      <c r="N40" s="2339">
        <v>0.15</v>
      </c>
      <c r="O40" s="2824"/>
      <c r="P40" s="896">
        <v>809146200</v>
      </c>
      <c r="Q40" s="896">
        <v>909146200</v>
      </c>
      <c r="R40" s="896">
        <v>377734280</v>
      </c>
      <c r="S40" s="896">
        <v>264258640</v>
      </c>
      <c r="T40" s="2341">
        <f t="shared" si="10"/>
        <v>0.41548243835809906</v>
      </c>
      <c r="U40" s="2341">
        <f t="shared" si="10"/>
        <v>0.6995887161737081</v>
      </c>
      <c r="V40" s="2388">
        <v>45306</v>
      </c>
      <c r="W40" s="2388">
        <v>45657</v>
      </c>
      <c r="X40" s="2390" t="s">
        <v>5023</v>
      </c>
      <c r="Y40" s="3042"/>
    </row>
    <row r="41" spans="1:25" ht="54">
      <c r="A41" s="3042"/>
      <c r="B41" s="3042"/>
      <c r="C41" s="3042"/>
      <c r="D41" s="3042"/>
      <c r="E41" s="2334" t="s">
        <v>1536</v>
      </c>
      <c r="F41" s="2310"/>
      <c r="G41" s="2389"/>
      <c r="H41" s="2346"/>
      <c r="I41" s="2412" t="s">
        <v>1537</v>
      </c>
      <c r="J41" s="2334" t="s">
        <v>1538</v>
      </c>
      <c r="K41" s="2351">
        <v>50</v>
      </c>
      <c r="L41" s="2370">
        <v>0.2</v>
      </c>
      <c r="M41" s="410">
        <v>25</v>
      </c>
      <c r="N41" s="2339">
        <v>0.1</v>
      </c>
      <c r="O41" s="2824"/>
      <c r="P41" s="896">
        <v>39014400</v>
      </c>
      <c r="Q41" s="896">
        <v>39014400</v>
      </c>
      <c r="R41" s="896">
        <v>31066000</v>
      </c>
      <c r="S41" s="896">
        <v>22190000</v>
      </c>
      <c r="T41" s="2341">
        <f t="shared" si="10"/>
        <v>0.79627009514435698</v>
      </c>
      <c r="U41" s="2341">
        <f t="shared" si="10"/>
        <v>0.7142857142857143</v>
      </c>
      <c r="V41" s="2388">
        <v>45306</v>
      </c>
      <c r="W41" s="2388">
        <v>45657</v>
      </c>
      <c r="X41" s="2390" t="s">
        <v>5024</v>
      </c>
      <c r="Y41" s="3042"/>
    </row>
    <row r="42" spans="1:25" ht="54">
      <c r="A42" s="3042"/>
      <c r="B42" s="3042"/>
      <c r="C42" s="3042"/>
      <c r="D42" s="3042"/>
      <c r="E42" s="2334" t="s">
        <v>1539</v>
      </c>
      <c r="F42" s="2310"/>
      <c r="G42" s="2389"/>
      <c r="H42" s="2346"/>
      <c r="I42" s="2407" t="s">
        <v>1540</v>
      </c>
      <c r="J42" s="2334" t="s">
        <v>1541</v>
      </c>
      <c r="K42" s="2351">
        <v>12</v>
      </c>
      <c r="L42" s="2370">
        <v>0.06</v>
      </c>
      <c r="M42" s="410">
        <v>6</v>
      </c>
      <c r="N42" s="2339">
        <v>0.03</v>
      </c>
      <c r="O42" s="2824"/>
      <c r="P42" s="896">
        <v>27014400</v>
      </c>
      <c r="Q42" s="896">
        <v>27014400</v>
      </c>
      <c r="R42" s="896">
        <v>13507200</v>
      </c>
      <c r="S42" s="896">
        <v>3376800</v>
      </c>
      <c r="T42" s="2341">
        <f t="shared" si="10"/>
        <v>0.5</v>
      </c>
      <c r="U42" s="2341">
        <f t="shared" si="10"/>
        <v>0.25</v>
      </c>
      <c r="V42" s="2388">
        <v>45306</v>
      </c>
      <c r="W42" s="2388">
        <v>45657</v>
      </c>
      <c r="X42" s="2390" t="s">
        <v>5025</v>
      </c>
      <c r="Y42" s="3042"/>
    </row>
    <row r="43" spans="1:25" ht="27">
      <c r="A43" s="3042"/>
      <c r="B43" s="3042"/>
      <c r="C43" s="3042"/>
      <c r="D43" s="3042"/>
      <c r="E43" s="2334" t="s">
        <v>1542</v>
      </c>
      <c r="F43" s="2310"/>
      <c r="G43" s="2389"/>
      <c r="H43" s="2346"/>
      <c r="I43" s="2407" t="s">
        <v>1543</v>
      </c>
      <c r="J43" s="2334" t="s">
        <v>1544</v>
      </c>
      <c r="K43" s="2413">
        <v>12</v>
      </c>
      <c r="L43" s="2370">
        <v>0.06</v>
      </c>
      <c r="M43" s="410">
        <v>6</v>
      </c>
      <c r="N43" s="2339">
        <v>0.03</v>
      </c>
      <c r="O43" s="2824"/>
      <c r="P43" s="896">
        <v>99052800</v>
      </c>
      <c r="Q43" s="896">
        <v>99052800</v>
      </c>
      <c r="R43" s="896">
        <v>38482800</v>
      </c>
      <c r="S43" s="896">
        <v>24044200</v>
      </c>
      <c r="T43" s="2341">
        <f t="shared" si="10"/>
        <v>0.38850794727660398</v>
      </c>
      <c r="U43" s="2341">
        <f t="shared" si="10"/>
        <v>0.6248038084546863</v>
      </c>
      <c r="V43" s="2388">
        <v>45306</v>
      </c>
      <c r="W43" s="2388">
        <v>45657</v>
      </c>
      <c r="X43" s="2390" t="s">
        <v>5026</v>
      </c>
      <c r="Y43" s="3042"/>
    </row>
    <row r="44" spans="1:25" ht="81">
      <c r="A44" s="3040"/>
      <c r="B44" s="3040"/>
      <c r="C44" s="3040"/>
      <c r="D44" s="3040"/>
      <c r="E44" s="2334" t="s">
        <v>1545</v>
      </c>
      <c r="F44" s="2310"/>
      <c r="G44" s="2389"/>
      <c r="H44" s="2346"/>
      <c r="I44" s="2407" t="s">
        <v>1546</v>
      </c>
      <c r="J44" s="2334" t="s">
        <v>1547</v>
      </c>
      <c r="K44" s="2351">
        <v>12</v>
      </c>
      <c r="L44" s="2370">
        <v>0.08</v>
      </c>
      <c r="M44" s="410">
        <v>6</v>
      </c>
      <c r="N44" s="2339">
        <v>0.04</v>
      </c>
      <c r="O44" s="2825"/>
      <c r="P44" s="896">
        <v>220386600</v>
      </c>
      <c r="Q44" s="896">
        <v>220386600</v>
      </c>
      <c r="R44" s="896">
        <v>86991220</v>
      </c>
      <c r="S44" s="896">
        <v>37354860</v>
      </c>
      <c r="T44" s="2341">
        <f t="shared" si="10"/>
        <v>0.39472100390858611</v>
      </c>
      <c r="U44" s="2341">
        <f t="shared" si="10"/>
        <v>0.42940954271017234</v>
      </c>
      <c r="V44" s="2388">
        <v>45306</v>
      </c>
      <c r="W44" s="2388">
        <v>45657</v>
      </c>
      <c r="X44" s="2390" t="s">
        <v>5027</v>
      </c>
      <c r="Y44" s="3040"/>
    </row>
    <row r="45" spans="1:25" ht="33">
      <c r="A45" s="2348"/>
      <c r="B45" s="2349">
        <v>5202003</v>
      </c>
      <c r="C45" s="2349" t="s">
        <v>102</v>
      </c>
      <c r="D45" s="2317" t="s">
        <v>1548</v>
      </c>
      <c r="E45" s="2360"/>
      <c r="F45" s="2414"/>
      <c r="G45" s="2345"/>
      <c r="H45" s="2345"/>
      <c r="I45" s="2345"/>
      <c r="J45" s="2345"/>
      <c r="K45" s="2353"/>
      <c r="L45" s="2353"/>
      <c r="M45" s="396"/>
      <c r="N45" s="2415"/>
      <c r="O45" s="2397"/>
      <c r="P45" s="2355"/>
      <c r="Q45" s="2398"/>
      <c r="R45" s="2398"/>
      <c r="S45" s="2398"/>
      <c r="T45" s="2356"/>
      <c r="U45" s="2356"/>
      <c r="V45" s="2357"/>
      <c r="W45" s="2357"/>
      <c r="X45" s="411"/>
      <c r="Y45" s="2348"/>
    </row>
    <row r="46" spans="1:25" ht="38.25">
      <c r="A46" s="2348"/>
      <c r="B46" s="2358">
        <v>52020030006</v>
      </c>
      <c r="C46" s="2358" t="s">
        <v>103</v>
      </c>
      <c r="D46" s="2327" t="s">
        <v>1549</v>
      </c>
      <c r="E46" s="2350"/>
      <c r="F46" s="2344"/>
      <c r="G46" s="2366"/>
      <c r="H46" s="2416"/>
      <c r="I46" s="2366"/>
      <c r="J46" s="2368"/>
      <c r="K46" s="2417"/>
      <c r="L46" s="2370"/>
      <c r="M46" s="2418"/>
      <c r="N46" s="2419"/>
      <c r="O46" s="2401"/>
      <c r="P46" s="2336"/>
      <c r="Q46" s="2402"/>
      <c r="R46" s="2402"/>
      <c r="S46" s="2402"/>
      <c r="T46" s="2364"/>
      <c r="U46" s="2364"/>
      <c r="V46" s="2357"/>
      <c r="W46" s="2357"/>
      <c r="X46" s="411"/>
      <c r="Y46" s="2348"/>
    </row>
    <row r="47" spans="1:25">
      <c r="A47" s="3043">
        <v>4145</v>
      </c>
      <c r="B47" s="3044"/>
      <c r="C47" s="3043" t="s">
        <v>109</v>
      </c>
      <c r="D47" s="3039" t="s">
        <v>1550</v>
      </c>
      <c r="E47" s="2365" t="s">
        <v>1551</v>
      </c>
      <c r="F47" s="2348"/>
      <c r="G47" s="2366"/>
      <c r="H47" s="2367"/>
      <c r="I47" s="2366"/>
      <c r="J47" s="2368"/>
      <c r="K47" s="2420">
        <f>SUM(K48)</f>
        <v>1000</v>
      </c>
      <c r="L47" s="2370">
        <f>SUM(L48:L50)</f>
        <v>1</v>
      </c>
      <c r="M47" s="2406"/>
      <c r="N47" s="2403">
        <f>SUM(N48:N50)</f>
        <v>4.7500000000000001E-2</v>
      </c>
      <c r="O47" s="2845">
        <f>IF(Q47&gt;0,N47,"na")</f>
        <v>4.7500000000000001E-2</v>
      </c>
      <c r="P47" s="2336">
        <f t="shared" ref="P47:S47" si="11">SUM(P48:P50)</f>
        <v>2673105503</v>
      </c>
      <c r="Q47" s="2340">
        <f t="shared" si="11"/>
        <v>2673105503</v>
      </c>
      <c r="R47" s="2340">
        <f t="shared" si="11"/>
        <v>2365394053</v>
      </c>
      <c r="S47" s="2340">
        <f t="shared" si="11"/>
        <v>22190000</v>
      </c>
      <c r="T47" s="2341">
        <f t="shared" ref="T47:U50" si="12">IF(Q47=0,0,R47/Q47)</f>
        <v>0.88488615595057563</v>
      </c>
      <c r="U47" s="2341">
        <f t="shared" si="12"/>
        <v>9.3811007818577624E-3</v>
      </c>
      <c r="V47" s="2342">
        <v>45306</v>
      </c>
      <c r="W47" s="2342">
        <v>45657</v>
      </c>
      <c r="X47" s="411"/>
      <c r="Y47" s="3039" t="s">
        <v>1518</v>
      </c>
    </row>
    <row r="48" spans="1:25" ht="54">
      <c r="A48" s="3042"/>
      <c r="B48" s="3042"/>
      <c r="C48" s="3042"/>
      <c r="D48" s="3042"/>
      <c r="E48" s="2365" t="s">
        <v>1552</v>
      </c>
      <c r="F48" s="2389"/>
      <c r="G48" s="2334" t="s">
        <v>1553</v>
      </c>
      <c r="H48" s="2367"/>
      <c r="I48" s="2407" t="s">
        <v>1554</v>
      </c>
      <c r="J48" s="2371" t="s">
        <v>106</v>
      </c>
      <c r="K48" s="2416">
        <v>1000</v>
      </c>
      <c r="L48" s="2421">
        <v>0.63</v>
      </c>
      <c r="M48" s="2406">
        <v>50</v>
      </c>
      <c r="N48" s="2339">
        <v>3.15E-2</v>
      </c>
      <c r="O48" s="2824"/>
      <c r="P48" s="896">
        <v>1676750000</v>
      </c>
      <c r="Q48" s="896">
        <v>1676750000</v>
      </c>
      <c r="R48" s="896">
        <v>1676750000</v>
      </c>
      <c r="S48" s="896">
        <v>0</v>
      </c>
      <c r="T48" s="2341">
        <f t="shared" si="12"/>
        <v>1</v>
      </c>
      <c r="U48" s="2341">
        <f t="shared" si="12"/>
        <v>0</v>
      </c>
      <c r="V48" s="2373">
        <v>45397</v>
      </c>
      <c r="W48" s="2373">
        <v>45657</v>
      </c>
      <c r="X48" s="411" t="s">
        <v>5028</v>
      </c>
      <c r="Y48" s="3042"/>
    </row>
    <row r="49" spans="1:25" ht="81">
      <c r="A49" s="3042"/>
      <c r="B49" s="3042"/>
      <c r="C49" s="3042"/>
      <c r="D49" s="3042"/>
      <c r="E49" s="2365" t="s">
        <v>1555</v>
      </c>
      <c r="F49" s="2389"/>
      <c r="G49" s="2389"/>
      <c r="H49" s="2346"/>
      <c r="I49" s="2371" t="s">
        <v>1556</v>
      </c>
      <c r="J49" s="2371" t="s">
        <v>1557</v>
      </c>
      <c r="K49" s="2416">
        <v>50</v>
      </c>
      <c r="L49" s="2421">
        <v>0.1</v>
      </c>
      <c r="M49" s="2406">
        <v>8</v>
      </c>
      <c r="N49" s="2339">
        <v>1.6E-2</v>
      </c>
      <c r="O49" s="2824"/>
      <c r="P49" s="896">
        <v>266100450</v>
      </c>
      <c r="Q49" s="896">
        <v>266100450</v>
      </c>
      <c r="R49" s="896">
        <v>68789000</v>
      </c>
      <c r="S49" s="896">
        <v>22190000</v>
      </c>
      <c r="T49" s="2341">
        <f t="shared" si="12"/>
        <v>0.25850764250868424</v>
      </c>
      <c r="U49" s="2341">
        <f t="shared" si="12"/>
        <v>0.32258064516129031</v>
      </c>
      <c r="V49" s="2388">
        <v>45306</v>
      </c>
      <c r="W49" s="2388">
        <v>45657</v>
      </c>
      <c r="X49" s="411" t="s">
        <v>5029</v>
      </c>
      <c r="Y49" s="3042"/>
    </row>
    <row r="50" spans="1:25" ht="81">
      <c r="A50" s="3040"/>
      <c r="B50" s="3040"/>
      <c r="C50" s="3040"/>
      <c r="D50" s="3040"/>
      <c r="E50" s="2365" t="s">
        <v>1558</v>
      </c>
      <c r="F50" s="2389"/>
      <c r="G50" s="2389"/>
      <c r="H50" s="2346"/>
      <c r="I50" s="2371" t="s">
        <v>1559</v>
      </c>
      <c r="J50" s="2371" t="s">
        <v>1560</v>
      </c>
      <c r="K50" s="2416">
        <v>1</v>
      </c>
      <c r="L50" s="2421">
        <v>0.27</v>
      </c>
      <c r="M50" s="2406">
        <v>0</v>
      </c>
      <c r="N50" s="2422">
        <v>0</v>
      </c>
      <c r="O50" s="2824"/>
      <c r="P50" s="896">
        <v>730255053</v>
      </c>
      <c r="Q50" s="896">
        <v>730255053</v>
      </c>
      <c r="R50" s="896">
        <v>619855053</v>
      </c>
      <c r="S50" s="896">
        <v>0</v>
      </c>
      <c r="T50" s="2341">
        <f t="shared" si="12"/>
        <v>0.84881994373546632</v>
      </c>
      <c r="U50" s="2341">
        <f t="shared" si="12"/>
        <v>0</v>
      </c>
      <c r="V50" s="2388">
        <v>45397</v>
      </c>
      <c r="W50" s="2388">
        <v>45657</v>
      </c>
      <c r="X50" s="411" t="s">
        <v>5030</v>
      </c>
      <c r="Y50" s="3040"/>
    </row>
    <row r="51" spans="1:25" ht="33">
      <c r="A51" s="2348"/>
      <c r="B51" s="2349">
        <v>5202004</v>
      </c>
      <c r="C51" s="2374" t="s">
        <v>102</v>
      </c>
      <c r="D51" s="2317" t="s">
        <v>1561</v>
      </c>
      <c r="E51" s="2350"/>
      <c r="F51" s="2423"/>
      <c r="G51" s="2334"/>
      <c r="H51" s="2367"/>
      <c r="I51" s="2366"/>
      <c r="J51" s="2368"/>
      <c r="K51" s="2368"/>
      <c r="L51" s="2421"/>
      <c r="M51" s="2424"/>
      <c r="N51" s="2425"/>
      <c r="O51" s="2426"/>
      <c r="P51" s="2427"/>
      <c r="Q51" s="896"/>
      <c r="R51" s="896"/>
      <c r="S51" s="896"/>
      <c r="T51" s="2341"/>
      <c r="U51" s="2341"/>
      <c r="V51" s="2373"/>
      <c r="W51" s="2373"/>
      <c r="X51" s="411"/>
      <c r="Y51" s="2348"/>
    </row>
    <row r="52" spans="1:25" ht="38.25">
      <c r="A52" s="2348"/>
      <c r="B52" s="2358">
        <v>52020040008</v>
      </c>
      <c r="C52" s="2344" t="s">
        <v>103</v>
      </c>
      <c r="D52" s="2327" t="s">
        <v>1562</v>
      </c>
      <c r="E52" s="2350"/>
      <c r="F52" s="2399"/>
      <c r="G52" s="2334"/>
      <c r="H52" s="2367"/>
      <c r="I52" s="2366"/>
      <c r="J52" s="2368"/>
      <c r="K52" s="2368"/>
      <c r="L52" s="2421"/>
      <c r="M52" s="2406"/>
      <c r="N52" s="2425"/>
      <c r="O52" s="2426"/>
      <c r="P52" s="2427"/>
      <c r="Q52" s="896"/>
      <c r="R52" s="896"/>
      <c r="S52" s="896"/>
      <c r="T52" s="2341"/>
      <c r="U52" s="2341"/>
      <c r="V52" s="2373"/>
      <c r="W52" s="2373"/>
      <c r="X52" s="411"/>
      <c r="Y52" s="2348"/>
    </row>
    <row r="53" spans="1:25">
      <c r="A53" s="3043">
        <v>4145</v>
      </c>
      <c r="B53" s="3044"/>
      <c r="C53" s="3043" t="s">
        <v>109</v>
      </c>
      <c r="D53" s="3039" t="s">
        <v>1563</v>
      </c>
      <c r="E53" s="2365" t="s">
        <v>1564</v>
      </c>
      <c r="F53" s="2389"/>
      <c r="G53" s="2367"/>
      <c r="H53" s="2367"/>
      <c r="I53" s="2366"/>
      <c r="J53" s="2368"/>
      <c r="K53" s="2336">
        <f>SUM(K54)</f>
        <v>1000</v>
      </c>
      <c r="L53" s="2421">
        <f>SUM(L54:L57)</f>
        <v>1</v>
      </c>
      <c r="M53" s="2406">
        <v>0</v>
      </c>
      <c r="N53" s="2339">
        <f>SUM(N54:N57)</f>
        <v>0.2147</v>
      </c>
      <c r="O53" s="3051">
        <f>IF(Q53&gt;0,N53,"na")</f>
        <v>0.2147</v>
      </c>
      <c r="P53" s="2369">
        <f t="shared" ref="P53:S53" si="13">SUM(P54:P57)</f>
        <v>800600000</v>
      </c>
      <c r="Q53" s="896">
        <f t="shared" si="13"/>
        <v>800600000</v>
      </c>
      <c r="R53" s="896">
        <f t="shared" si="13"/>
        <v>544930762</v>
      </c>
      <c r="S53" s="896">
        <f t="shared" si="13"/>
        <v>144860752</v>
      </c>
      <c r="T53" s="2341">
        <f t="shared" ref="T53:U57" si="14">IF(Q53=0,0,R53/Q53)</f>
        <v>0.68065296277791654</v>
      </c>
      <c r="U53" s="2341">
        <f t="shared" si="14"/>
        <v>0.26583331700404172</v>
      </c>
      <c r="V53" s="2342">
        <v>45306</v>
      </c>
      <c r="W53" s="2342">
        <v>45657</v>
      </c>
      <c r="X53" s="411"/>
      <c r="Y53" s="2348"/>
    </row>
    <row r="54" spans="1:25" ht="81">
      <c r="A54" s="3042"/>
      <c r="B54" s="3042"/>
      <c r="C54" s="3042"/>
      <c r="D54" s="3042"/>
      <c r="E54" s="2365" t="s">
        <v>1565</v>
      </c>
      <c r="F54" s="2389"/>
      <c r="G54" s="2334" t="s">
        <v>1562</v>
      </c>
      <c r="H54" s="2367"/>
      <c r="I54" s="2428" t="s">
        <v>1566</v>
      </c>
      <c r="J54" s="2428" t="s">
        <v>1567</v>
      </c>
      <c r="K54" s="2336">
        <v>1000</v>
      </c>
      <c r="L54" s="2421">
        <v>0.64</v>
      </c>
      <c r="M54" s="2336">
        <v>180</v>
      </c>
      <c r="N54" s="2339">
        <v>0.1152</v>
      </c>
      <c r="O54" s="3049"/>
      <c r="P54" s="896">
        <v>486533260</v>
      </c>
      <c r="Q54" s="896">
        <v>486533260</v>
      </c>
      <c r="R54" s="896">
        <v>427573762</v>
      </c>
      <c r="S54" s="896">
        <v>85514752</v>
      </c>
      <c r="T54" s="2341">
        <f t="shared" si="14"/>
        <v>0.87881712752793095</v>
      </c>
      <c r="U54" s="2341">
        <f t="shared" si="14"/>
        <v>0.1999999990644889</v>
      </c>
      <c r="V54" s="2373">
        <v>45323</v>
      </c>
      <c r="W54" s="2373">
        <v>45657</v>
      </c>
      <c r="X54" s="411" t="s">
        <v>5031</v>
      </c>
      <c r="Y54" s="3039" t="s">
        <v>1518</v>
      </c>
    </row>
    <row r="55" spans="1:25" ht="67.5">
      <c r="A55" s="3042"/>
      <c r="B55" s="3042"/>
      <c r="C55" s="3042"/>
      <c r="D55" s="3042"/>
      <c r="E55" s="2365" t="s">
        <v>1568</v>
      </c>
      <c r="F55" s="2389"/>
      <c r="G55" s="2389"/>
      <c r="H55" s="2346"/>
      <c r="I55" s="2428" t="s">
        <v>1569</v>
      </c>
      <c r="J55" s="2428" t="s">
        <v>1570</v>
      </c>
      <c r="K55" s="2336">
        <v>37</v>
      </c>
      <c r="L55" s="2421">
        <v>0.12</v>
      </c>
      <c r="M55" s="2336">
        <v>0</v>
      </c>
      <c r="N55" s="2339">
        <v>0</v>
      </c>
      <c r="O55" s="3049"/>
      <c r="P55" s="896">
        <v>50306740</v>
      </c>
      <c r="Q55" s="896">
        <v>50306740</v>
      </c>
      <c r="R55" s="896">
        <v>0</v>
      </c>
      <c r="S55" s="896">
        <v>0</v>
      </c>
      <c r="T55" s="2341">
        <f t="shared" si="14"/>
        <v>0</v>
      </c>
      <c r="U55" s="2341">
        <f t="shared" si="14"/>
        <v>0</v>
      </c>
      <c r="V55" s="2388"/>
      <c r="W55" s="2388"/>
      <c r="X55" s="411"/>
      <c r="Y55" s="3042"/>
    </row>
    <row r="56" spans="1:25" ht="81">
      <c r="A56" s="3042"/>
      <c r="B56" s="3042"/>
      <c r="C56" s="3042"/>
      <c r="D56" s="3042"/>
      <c r="E56" s="2365" t="s">
        <v>1571</v>
      </c>
      <c r="F56" s="2389"/>
      <c r="G56" s="2389"/>
      <c r="H56" s="2346"/>
      <c r="I56" s="2428" t="s">
        <v>1572</v>
      </c>
      <c r="J56" s="2428" t="s">
        <v>1505</v>
      </c>
      <c r="K56" s="2336">
        <v>30</v>
      </c>
      <c r="L56" s="2421">
        <v>0.13</v>
      </c>
      <c r="M56" s="2336">
        <v>20</v>
      </c>
      <c r="N56" s="2339">
        <v>8.666666666666667E-2</v>
      </c>
      <c r="O56" s="3049"/>
      <c r="P56" s="896">
        <v>115306800</v>
      </c>
      <c r="Q56" s="896">
        <v>115306800</v>
      </c>
      <c r="R56" s="896">
        <v>52914600</v>
      </c>
      <c r="S56" s="896">
        <v>30464600</v>
      </c>
      <c r="T56" s="2341">
        <f t="shared" si="14"/>
        <v>0.45890268397006939</v>
      </c>
      <c r="U56" s="2341">
        <f t="shared" si="14"/>
        <v>0.57573146163818678</v>
      </c>
      <c r="V56" s="2373">
        <v>45347</v>
      </c>
      <c r="W56" s="2373">
        <v>45657</v>
      </c>
      <c r="X56" s="411" t="s">
        <v>5032</v>
      </c>
      <c r="Y56" s="3042"/>
    </row>
    <row r="57" spans="1:25" ht="54">
      <c r="A57" s="3040"/>
      <c r="B57" s="3040"/>
      <c r="C57" s="3040"/>
      <c r="D57" s="3040"/>
      <c r="E57" s="2365" t="s">
        <v>1573</v>
      </c>
      <c r="F57" s="2389"/>
      <c r="G57" s="2389"/>
      <c r="H57" s="2346"/>
      <c r="I57" s="2428" t="s">
        <v>1574</v>
      </c>
      <c r="J57" s="2428" t="s">
        <v>1575</v>
      </c>
      <c r="K57" s="2336">
        <v>60</v>
      </c>
      <c r="L57" s="2421">
        <v>0.11</v>
      </c>
      <c r="M57" s="2336">
        <v>7</v>
      </c>
      <c r="N57" s="2339">
        <v>1.2833333333333334E-2</v>
      </c>
      <c r="O57" s="3050"/>
      <c r="P57" s="896">
        <v>148453200</v>
      </c>
      <c r="Q57" s="896">
        <v>148453200</v>
      </c>
      <c r="R57" s="896">
        <v>64442400</v>
      </c>
      <c r="S57" s="896">
        <v>28881400</v>
      </c>
      <c r="T57" s="2341">
        <f t="shared" si="14"/>
        <v>0.4340923604206578</v>
      </c>
      <c r="U57" s="2341">
        <f t="shared" si="14"/>
        <v>0.44817387310218115</v>
      </c>
      <c r="V57" s="2373">
        <v>45373</v>
      </c>
      <c r="W57" s="2373">
        <v>45657</v>
      </c>
      <c r="X57" s="2390" t="s">
        <v>5033</v>
      </c>
      <c r="Y57" s="3040"/>
    </row>
    <row r="58" spans="1:25" ht="66">
      <c r="A58" s="2348"/>
      <c r="B58" s="2374">
        <v>5202005</v>
      </c>
      <c r="C58" s="2374" t="s">
        <v>102</v>
      </c>
      <c r="D58" s="2317" t="s">
        <v>1211</v>
      </c>
      <c r="E58" s="2350"/>
      <c r="F58" s="2423"/>
      <c r="G58" s="2366"/>
      <c r="H58" s="2366"/>
      <c r="I58" s="2366"/>
      <c r="J58" s="2368"/>
      <c r="K58" s="2368"/>
      <c r="L58" s="2421"/>
      <c r="M58" s="2429"/>
      <c r="N58" s="2339"/>
      <c r="O58" s="2341"/>
      <c r="P58" s="2362"/>
      <c r="Q58" s="896"/>
      <c r="R58" s="2406"/>
      <c r="S58" s="2406"/>
      <c r="T58" s="2341"/>
      <c r="U58" s="2341"/>
      <c r="V58" s="2357"/>
      <c r="W58" s="2357"/>
      <c r="X58" s="411"/>
      <c r="Y58" s="2348"/>
    </row>
    <row r="59" spans="1:25" ht="63.75">
      <c r="A59" s="2348"/>
      <c r="B59" s="2344">
        <v>52020050003</v>
      </c>
      <c r="C59" s="2344" t="s">
        <v>103</v>
      </c>
      <c r="D59" s="2327" t="s">
        <v>1576</v>
      </c>
      <c r="E59" s="2350"/>
      <c r="F59" s="2399"/>
      <c r="G59" s="2366"/>
      <c r="H59" s="2366"/>
      <c r="I59" s="2366"/>
      <c r="J59" s="2368"/>
      <c r="K59" s="2368"/>
      <c r="L59" s="2421"/>
      <c r="M59" s="2429"/>
      <c r="N59" s="2339"/>
      <c r="O59" s="2341"/>
      <c r="P59" s="2362"/>
      <c r="Q59" s="896"/>
      <c r="R59" s="2406"/>
      <c r="S59" s="2406"/>
      <c r="T59" s="2430"/>
      <c r="U59" s="2341"/>
      <c r="V59" s="2357"/>
      <c r="W59" s="2357"/>
      <c r="X59" s="411"/>
      <c r="Y59" s="2348"/>
    </row>
    <row r="60" spans="1:25">
      <c r="A60" s="3043">
        <v>4145</v>
      </c>
      <c r="B60" s="3044"/>
      <c r="C60" s="3043" t="s">
        <v>109</v>
      </c>
      <c r="D60" s="3039" t="s">
        <v>1577</v>
      </c>
      <c r="E60" s="2365" t="s">
        <v>1578</v>
      </c>
      <c r="F60" s="2348"/>
      <c r="G60" s="2360"/>
      <c r="H60" s="2431"/>
      <c r="I60" s="2360"/>
      <c r="J60" s="2345"/>
      <c r="K60" s="2369">
        <f>SUM(K63)</f>
        <v>1900</v>
      </c>
      <c r="L60" s="2370">
        <f>SUM(L61:L66)</f>
        <v>1</v>
      </c>
      <c r="M60" s="2429"/>
      <c r="N60" s="2339">
        <f>SUM(N61:N66)</f>
        <v>5.5500000000000008E-2</v>
      </c>
      <c r="O60" s="3048">
        <f>IF(Q60&gt;0,N60,"na")</f>
        <v>5.5500000000000008E-2</v>
      </c>
      <c r="P60" s="2336">
        <f t="shared" ref="P60:S60" si="15">SUM(P61:P66)</f>
        <v>2542932975</v>
      </c>
      <c r="Q60" s="896">
        <f t="shared" si="15"/>
        <v>6191438029</v>
      </c>
      <c r="R60" s="2406">
        <f t="shared" si="15"/>
        <v>579869951</v>
      </c>
      <c r="S60" s="2406">
        <f t="shared" si="15"/>
        <v>243552428</v>
      </c>
      <c r="T60" s="2341">
        <f t="shared" ref="T60:U66" si="16">IF(Q60=0,0,R60/Q60)</f>
        <v>9.3656747961290143E-2</v>
      </c>
      <c r="U60" s="2341">
        <f t="shared" si="16"/>
        <v>0.42001215544966219</v>
      </c>
      <c r="V60" s="2432" t="s">
        <v>1579</v>
      </c>
      <c r="W60" s="2432" t="s">
        <v>1580</v>
      </c>
      <c r="X60" s="411"/>
      <c r="Y60" s="3039" t="s">
        <v>1518</v>
      </c>
    </row>
    <row r="61" spans="1:25" ht="67.5">
      <c r="A61" s="3042"/>
      <c r="B61" s="3042"/>
      <c r="C61" s="3042"/>
      <c r="D61" s="3042"/>
      <c r="E61" s="2365" t="s">
        <v>1581</v>
      </c>
      <c r="F61" s="2334"/>
      <c r="G61" s="2368"/>
      <c r="H61" s="2345"/>
      <c r="I61" s="2371" t="s">
        <v>1582</v>
      </c>
      <c r="J61" s="2371" t="s">
        <v>1583</v>
      </c>
      <c r="K61" s="2369">
        <v>45</v>
      </c>
      <c r="L61" s="2370">
        <v>0.18</v>
      </c>
      <c r="M61" s="2406">
        <v>7</v>
      </c>
      <c r="N61" s="2410">
        <v>2.8000000000000001E-2</v>
      </c>
      <c r="O61" s="3049"/>
      <c r="P61" s="2369">
        <v>327876800</v>
      </c>
      <c r="Q61" s="896">
        <v>865645400</v>
      </c>
      <c r="R61" s="896">
        <v>119940546</v>
      </c>
      <c r="S61" s="896">
        <v>65638550</v>
      </c>
      <c r="T61" s="2341">
        <f t="shared" si="16"/>
        <v>0.13855621019877193</v>
      </c>
      <c r="U61" s="2341">
        <f t="shared" si="16"/>
        <v>0.54725905616604409</v>
      </c>
      <c r="V61" s="2373">
        <v>45323</v>
      </c>
      <c r="W61" s="2373">
        <v>45657</v>
      </c>
      <c r="X61" s="2390" t="s">
        <v>5034</v>
      </c>
      <c r="Y61" s="3042"/>
    </row>
    <row r="62" spans="1:25" ht="94.5">
      <c r="A62" s="3042"/>
      <c r="B62" s="3042"/>
      <c r="C62" s="3042"/>
      <c r="D62" s="3042"/>
      <c r="E62" s="2365" t="s">
        <v>1584</v>
      </c>
      <c r="F62" s="2334"/>
      <c r="G62" s="2368"/>
      <c r="H62" s="2367"/>
      <c r="I62" s="2371" t="s">
        <v>1585</v>
      </c>
      <c r="J62" s="2371" t="s">
        <v>1586</v>
      </c>
      <c r="K62" s="2369">
        <v>40</v>
      </c>
      <c r="L62" s="2370">
        <v>0.04</v>
      </c>
      <c r="M62" s="2406">
        <v>8</v>
      </c>
      <c r="N62" s="2339">
        <v>8.0000000000000002E-3</v>
      </c>
      <c r="O62" s="3049"/>
      <c r="P62" s="2369">
        <v>104189100</v>
      </c>
      <c r="Q62" s="896">
        <v>199502200</v>
      </c>
      <c r="R62" s="896">
        <v>46356143</v>
      </c>
      <c r="S62" s="896">
        <v>15439881</v>
      </c>
      <c r="T62" s="2341">
        <f t="shared" si="16"/>
        <v>0.23235905669210666</v>
      </c>
      <c r="U62" s="2341">
        <f t="shared" si="16"/>
        <v>0.33307087261336649</v>
      </c>
      <c r="V62" s="2388">
        <v>45323</v>
      </c>
      <c r="W62" s="2388">
        <v>45657</v>
      </c>
      <c r="X62" s="2390" t="s">
        <v>5035</v>
      </c>
      <c r="Y62" s="3042"/>
    </row>
    <row r="63" spans="1:25" ht="94.5">
      <c r="A63" s="3042"/>
      <c r="B63" s="3042"/>
      <c r="C63" s="3042"/>
      <c r="D63" s="3042"/>
      <c r="E63" s="2365" t="s">
        <v>1587</v>
      </c>
      <c r="F63" s="2334"/>
      <c r="G63" s="2366" t="s">
        <v>1588</v>
      </c>
      <c r="H63" s="2367"/>
      <c r="I63" s="2371" t="s">
        <v>1589</v>
      </c>
      <c r="J63" s="2371" t="s">
        <v>1590</v>
      </c>
      <c r="K63" s="2369">
        <v>1900</v>
      </c>
      <c r="L63" s="2370">
        <v>0.68</v>
      </c>
      <c r="M63" s="2406">
        <v>0</v>
      </c>
      <c r="N63" s="2339">
        <v>0</v>
      </c>
      <c r="O63" s="3049"/>
      <c r="P63" s="2369">
        <v>1779241673</v>
      </c>
      <c r="Q63" s="896">
        <v>4520114625</v>
      </c>
      <c r="R63" s="896">
        <v>330602276</v>
      </c>
      <c r="S63" s="896">
        <v>124144009</v>
      </c>
      <c r="T63" s="2341">
        <f t="shared" si="16"/>
        <v>7.3140241659247748E-2</v>
      </c>
      <c r="U63" s="2341">
        <f t="shared" si="16"/>
        <v>0.37550863382440841</v>
      </c>
      <c r="V63" s="2388">
        <v>45323</v>
      </c>
      <c r="W63" s="2388">
        <v>45657</v>
      </c>
      <c r="X63" s="2390" t="s">
        <v>5036</v>
      </c>
      <c r="Y63" s="3042"/>
    </row>
    <row r="64" spans="1:25" ht="40.5">
      <c r="A64" s="3042"/>
      <c r="B64" s="3042"/>
      <c r="C64" s="3042"/>
      <c r="D64" s="3042"/>
      <c r="E64" s="2365" t="s">
        <v>1591</v>
      </c>
      <c r="F64" s="2389"/>
      <c r="G64" s="2368"/>
      <c r="H64" s="2367"/>
      <c r="I64" s="2371" t="s">
        <v>1592</v>
      </c>
      <c r="J64" s="2371" t="s">
        <v>1593</v>
      </c>
      <c r="K64" s="2369">
        <v>200</v>
      </c>
      <c r="L64" s="2370">
        <v>0.05</v>
      </c>
      <c r="M64" s="2406">
        <v>78</v>
      </c>
      <c r="N64" s="2403">
        <v>1.9500000000000003E-2</v>
      </c>
      <c r="O64" s="3049"/>
      <c r="P64" s="2369">
        <v>225380488</v>
      </c>
      <c r="Q64" s="896">
        <v>393685976</v>
      </c>
      <c r="R64" s="896">
        <v>82970986</v>
      </c>
      <c r="S64" s="896">
        <v>38329988</v>
      </c>
      <c r="T64" s="2341">
        <f t="shared" si="16"/>
        <v>0.21075423321657766</v>
      </c>
      <c r="U64" s="2341">
        <f t="shared" si="16"/>
        <v>0.46196857296597632</v>
      </c>
      <c r="V64" s="2388">
        <v>45323</v>
      </c>
      <c r="W64" s="2388">
        <v>45657</v>
      </c>
      <c r="X64" s="2390" t="s">
        <v>5037</v>
      </c>
      <c r="Y64" s="3042"/>
    </row>
    <row r="65" spans="1:25" ht="40.5">
      <c r="A65" s="3042"/>
      <c r="B65" s="3042"/>
      <c r="C65" s="3042"/>
      <c r="D65" s="3042"/>
      <c r="E65" s="2365" t="s">
        <v>1594</v>
      </c>
      <c r="F65" s="2389"/>
      <c r="G65" s="2368"/>
      <c r="H65" s="2367"/>
      <c r="I65" s="2371" t="s">
        <v>1595</v>
      </c>
      <c r="J65" s="2371" t="s">
        <v>1596</v>
      </c>
      <c r="K65" s="2369">
        <v>5</v>
      </c>
      <c r="L65" s="2370">
        <v>0.03</v>
      </c>
      <c r="M65" s="2406">
        <v>0</v>
      </c>
      <c r="N65" s="2339">
        <v>0</v>
      </c>
      <c r="O65" s="3049"/>
      <c r="P65" s="2369">
        <v>67220334</v>
      </c>
      <c r="Q65" s="896">
        <v>134440668</v>
      </c>
      <c r="R65" s="896">
        <v>0</v>
      </c>
      <c r="S65" s="896">
        <v>0</v>
      </c>
      <c r="T65" s="2341">
        <f t="shared" si="16"/>
        <v>0</v>
      </c>
      <c r="U65" s="2341">
        <f t="shared" si="16"/>
        <v>0</v>
      </c>
      <c r="V65" s="2388"/>
      <c r="W65" s="2388"/>
      <c r="X65" s="2390"/>
      <c r="Y65" s="3042"/>
    </row>
    <row r="66" spans="1:25" ht="54">
      <c r="A66" s="3040"/>
      <c r="B66" s="3040"/>
      <c r="C66" s="3040"/>
      <c r="D66" s="3040"/>
      <c r="E66" s="2365" t="s">
        <v>1597</v>
      </c>
      <c r="F66" s="2389"/>
      <c r="G66" s="2368"/>
      <c r="H66" s="2367"/>
      <c r="I66" s="2371" t="s">
        <v>1598</v>
      </c>
      <c r="J66" s="2371" t="s">
        <v>1599</v>
      </c>
      <c r="K66" s="2369">
        <v>15</v>
      </c>
      <c r="L66" s="2370">
        <v>0.02</v>
      </c>
      <c r="M66" s="2406">
        <v>0</v>
      </c>
      <c r="N66" s="2339">
        <v>0</v>
      </c>
      <c r="O66" s="3050"/>
      <c r="P66" s="2369">
        <v>39024580</v>
      </c>
      <c r="Q66" s="896">
        <v>78049160</v>
      </c>
      <c r="R66" s="896">
        <v>0</v>
      </c>
      <c r="S66" s="896">
        <v>0</v>
      </c>
      <c r="T66" s="2341">
        <f t="shared" si="16"/>
        <v>0</v>
      </c>
      <c r="U66" s="2341">
        <f t="shared" si="16"/>
        <v>0</v>
      </c>
      <c r="V66" s="2388"/>
      <c r="W66" s="2388"/>
      <c r="X66" s="2390"/>
      <c r="Y66" s="3040"/>
    </row>
    <row r="67" spans="1:25">
      <c r="A67" s="2348"/>
      <c r="B67" s="2349">
        <v>5202006</v>
      </c>
      <c r="C67" s="2374" t="s">
        <v>102</v>
      </c>
      <c r="D67" s="2433" t="s">
        <v>1600</v>
      </c>
      <c r="E67" s="2350"/>
      <c r="F67" s="2423"/>
      <c r="G67" s="2434"/>
      <c r="H67" s="2367"/>
      <c r="I67" s="2366"/>
      <c r="J67" s="2368"/>
      <c r="K67" s="2362"/>
      <c r="L67" s="2435"/>
      <c r="M67" s="2406"/>
      <c r="N67" s="2339"/>
      <c r="O67" s="2436"/>
      <c r="P67" s="2437"/>
      <c r="Q67" s="896"/>
      <c r="R67" s="896"/>
      <c r="S67" s="896"/>
      <c r="T67" s="2341"/>
      <c r="U67" s="2341"/>
      <c r="V67" s="2438"/>
      <c r="W67" s="2438"/>
      <c r="X67" s="411"/>
      <c r="Y67" s="2348"/>
    </row>
    <row r="68" spans="1:25" ht="51">
      <c r="A68" s="2348"/>
      <c r="B68" s="2358">
        <v>52020060006</v>
      </c>
      <c r="C68" s="2344" t="s">
        <v>103</v>
      </c>
      <c r="D68" s="2439" t="s">
        <v>1601</v>
      </c>
      <c r="E68" s="2350"/>
      <c r="F68" s="2328"/>
      <c r="G68" s="2434"/>
      <c r="H68" s="2367"/>
      <c r="I68" s="2366"/>
      <c r="J68" s="2368"/>
      <c r="K68" s="2362"/>
      <c r="L68" s="2435"/>
      <c r="M68" s="2406"/>
      <c r="N68" s="2339"/>
      <c r="O68" s="2440"/>
      <c r="P68" s="2437"/>
      <c r="Q68" s="896"/>
      <c r="R68" s="2406"/>
      <c r="S68" s="2406"/>
      <c r="T68" s="2441"/>
      <c r="U68" s="2341"/>
      <c r="V68" s="2438"/>
      <c r="W68" s="2438"/>
      <c r="X68" s="411"/>
      <c r="Y68" s="2348"/>
    </row>
    <row r="69" spans="1:25">
      <c r="A69" s="3043">
        <v>4145</v>
      </c>
      <c r="B69" s="3044"/>
      <c r="C69" s="3043" t="s">
        <v>109</v>
      </c>
      <c r="D69" s="3052" t="s">
        <v>1602</v>
      </c>
      <c r="E69" s="2365" t="s">
        <v>1603</v>
      </c>
      <c r="F69" s="2389"/>
      <c r="G69" s="2368"/>
      <c r="H69" s="2335"/>
      <c r="I69" s="2366"/>
      <c r="J69" s="2368"/>
      <c r="K69" s="2369">
        <f t="shared" ref="K69:L69" si="17">SUM(K70:K71)</f>
        <v>9</v>
      </c>
      <c r="L69" s="2435">
        <f t="shared" si="17"/>
        <v>1</v>
      </c>
      <c r="M69" s="2406"/>
      <c r="N69" s="2339">
        <f>SUM(N70:N71)</f>
        <v>0</v>
      </c>
      <c r="O69" s="3051">
        <f>IF(Q69&gt;0,N69,"na")</f>
        <v>0</v>
      </c>
      <c r="P69" s="2442">
        <f t="shared" ref="P69:S69" si="18">SUM(P70:P71)</f>
        <v>305000000</v>
      </c>
      <c r="Q69" s="896">
        <f t="shared" si="18"/>
        <v>305000000</v>
      </c>
      <c r="R69" s="2406">
        <f t="shared" si="18"/>
        <v>271071000</v>
      </c>
      <c r="S69" s="2406">
        <f t="shared" si="18"/>
        <v>0</v>
      </c>
      <c r="T69" s="2441">
        <f t="shared" ref="T69:U71" si="19">IF(Q69=0,0,R69/Q69)</f>
        <v>0.88875737704918034</v>
      </c>
      <c r="U69" s="2341">
        <f t="shared" si="19"/>
        <v>0</v>
      </c>
      <c r="V69" s="2443" t="s">
        <v>1579</v>
      </c>
      <c r="W69" s="2443" t="s">
        <v>1580</v>
      </c>
      <c r="X69" s="411"/>
      <c r="Y69" s="3039" t="s">
        <v>1518</v>
      </c>
    </row>
    <row r="70" spans="1:25" ht="67.5">
      <c r="A70" s="3042"/>
      <c r="B70" s="3042"/>
      <c r="C70" s="3042"/>
      <c r="D70" s="3042"/>
      <c r="E70" s="2365" t="s">
        <v>1604</v>
      </c>
      <c r="F70" s="2389"/>
      <c r="G70" s="2366" t="s">
        <v>1605</v>
      </c>
      <c r="H70" s="2335"/>
      <c r="I70" s="2366" t="s">
        <v>1606</v>
      </c>
      <c r="J70" s="2366" t="s">
        <v>1607</v>
      </c>
      <c r="K70" s="2369">
        <v>5</v>
      </c>
      <c r="L70" s="2435">
        <v>0.51</v>
      </c>
      <c r="M70" s="2181">
        <v>0</v>
      </c>
      <c r="N70" s="2410">
        <v>0</v>
      </c>
      <c r="O70" s="3049"/>
      <c r="P70" s="2444">
        <v>156800800</v>
      </c>
      <c r="Q70" s="2445">
        <v>156800800</v>
      </c>
      <c r="R70" s="896">
        <v>156800800</v>
      </c>
      <c r="S70" s="896">
        <v>0</v>
      </c>
      <c r="T70" s="2341">
        <f t="shared" si="19"/>
        <v>1</v>
      </c>
      <c r="U70" s="2341">
        <f t="shared" si="19"/>
        <v>0</v>
      </c>
      <c r="V70" s="2438">
        <v>45397</v>
      </c>
      <c r="W70" s="2438">
        <v>45626</v>
      </c>
      <c r="X70" s="2390" t="s">
        <v>5038</v>
      </c>
      <c r="Y70" s="3042"/>
    </row>
    <row r="71" spans="1:25" ht="54">
      <c r="A71" s="3040"/>
      <c r="B71" s="3040"/>
      <c r="C71" s="3040"/>
      <c r="D71" s="3040"/>
      <c r="E71" s="2365" t="s">
        <v>1608</v>
      </c>
      <c r="F71" s="2389"/>
      <c r="G71" s="2368"/>
      <c r="H71" s="2446"/>
      <c r="I71" s="2366" t="s">
        <v>1609</v>
      </c>
      <c r="J71" s="2366" t="s">
        <v>1610</v>
      </c>
      <c r="K71" s="2369">
        <v>4</v>
      </c>
      <c r="L71" s="2435">
        <v>0.49</v>
      </c>
      <c r="M71" s="2181">
        <v>0</v>
      </c>
      <c r="N71" s="2410">
        <v>0</v>
      </c>
      <c r="O71" s="3050"/>
      <c r="P71" s="2444">
        <v>148199200</v>
      </c>
      <c r="Q71" s="2445">
        <v>148199200</v>
      </c>
      <c r="R71" s="896">
        <v>114270200</v>
      </c>
      <c r="S71" s="896">
        <v>0</v>
      </c>
      <c r="T71" s="2341">
        <f t="shared" si="19"/>
        <v>0.77105814336379686</v>
      </c>
      <c r="U71" s="2341">
        <f t="shared" si="19"/>
        <v>0</v>
      </c>
      <c r="V71" s="2438">
        <v>45397</v>
      </c>
      <c r="W71" s="2438">
        <v>45626</v>
      </c>
      <c r="X71" s="2390" t="s">
        <v>5039</v>
      </c>
      <c r="Y71" s="3040"/>
    </row>
    <row r="72" spans="1:25" ht="49.5">
      <c r="A72" s="2348"/>
      <c r="B72" s="2349">
        <v>5202007</v>
      </c>
      <c r="C72" s="2374" t="s">
        <v>102</v>
      </c>
      <c r="D72" s="2433" t="s">
        <v>1611</v>
      </c>
      <c r="E72" s="2350"/>
      <c r="F72" s="2357"/>
      <c r="G72" s="2366"/>
      <c r="H72" s="2366"/>
      <c r="I72" s="2366"/>
      <c r="J72" s="2368"/>
      <c r="K72" s="2345"/>
      <c r="L72" s="2435"/>
      <c r="M72" s="2406"/>
      <c r="N72" s="2403"/>
      <c r="O72" s="2341"/>
      <c r="P72" s="2437"/>
      <c r="Q72" s="2340"/>
      <c r="R72" s="2340"/>
      <c r="S72" s="2340"/>
      <c r="T72" s="2341"/>
      <c r="U72" s="2341"/>
      <c r="V72" s="2447"/>
      <c r="W72" s="2447"/>
      <c r="X72" s="411"/>
      <c r="Y72" s="2348"/>
    </row>
    <row r="73" spans="1:25" ht="51">
      <c r="A73" s="2348"/>
      <c r="B73" s="2358">
        <v>52020070005</v>
      </c>
      <c r="C73" s="2344" t="s">
        <v>103</v>
      </c>
      <c r="D73" s="2439" t="s">
        <v>1612</v>
      </c>
      <c r="E73" s="2350"/>
      <c r="F73" s="2328"/>
      <c r="G73" s="2366"/>
      <c r="H73" s="2366"/>
      <c r="I73" s="2366"/>
      <c r="J73" s="2368"/>
      <c r="K73" s="2345"/>
      <c r="L73" s="2435"/>
      <c r="M73" s="2406"/>
      <c r="N73" s="2339"/>
      <c r="O73" s="2341"/>
      <c r="P73" s="2437"/>
      <c r="Q73" s="896"/>
      <c r="R73" s="2406"/>
      <c r="S73" s="2406"/>
      <c r="T73" s="2341"/>
      <c r="U73" s="2341"/>
      <c r="V73" s="2447"/>
      <c r="W73" s="2447"/>
      <c r="X73" s="411"/>
      <c r="Y73" s="2348"/>
    </row>
    <row r="74" spans="1:25">
      <c r="A74" s="3043">
        <v>4145</v>
      </c>
      <c r="B74" s="3044"/>
      <c r="C74" s="3043" t="s">
        <v>109</v>
      </c>
      <c r="D74" s="3052" t="s">
        <v>1613</v>
      </c>
      <c r="E74" s="2365" t="s">
        <v>1614</v>
      </c>
      <c r="F74" s="2348"/>
      <c r="G74" s="2366"/>
      <c r="H74" s="2335"/>
      <c r="I74" s="2366"/>
      <c r="J74" s="2368"/>
      <c r="K74" s="2448">
        <f>SUM(K75)</f>
        <v>9</v>
      </c>
      <c r="L74" s="2449">
        <f>SUM(L75:L77)</f>
        <v>1</v>
      </c>
      <c r="M74" s="2406"/>
      <c r="N74" s="2339">
        <f>SUM(N75:N77)</f>
        <v>0</v>
      </c>
      <c r="O74" s="3048">
        <f>IF(Q74&gt;0,N74,"na")</f>
        <v>0</v>
      </c>
      <c r="P74" s="2442">
        <f t="shared" ref="P74:S74" si="20">SUM(P75:P77)</f>
        <v>366000000</v>
      </c>
      <c r="Q74" s="896">
        <f t="shared" si="20"/>
        <v>366000000</v>
      </c>
      <c r="R74" s="2406">
        <f t="shared" si="20"/>
        <v>366000000</v>
      </c>
      <c r="S74" s="2406">
        <f t="shared" si="20"/>
        <v>0</v>
      </c>
      <c r="T74" s="2341">
        <f t="shared" ref="T74:U77" si="21">IF(Q74=0,0,R74/Q74)</f>
        <v>1</v>
      </c>
      <c r="U74" s="2341">
        <f t="shared" si="21"/>
        <v>0</v>
      </c>
      <c r="V74" s="2443" t="s">
        <v>5040</v>
      </c>
      <c r="W74" s="2443" t="s">
        <v>1580</v>
      </c>
      <c r="X74" s="411"/>
      <c r="Y74" s="3039" t="s">
        <v>1518</v>
      </c>
    </row>
    <row r="75" spans="1:25" ht="54">
      <c r="A75" s="3042"/>
      <c r="B75" s="3042"/>
      <c r="C75" s="3042"/>
      <c r="D75" s="3042"/>
      <c r="E75" s="2365" t="s">
        <v>1615</v>
      </c>
      <c r="F75" s="2348"/>
      <c r="G75" s="2366" t="s">
        <v>1616</v>
      </c>
      <c r="H75" s="2335"/>
      <c r="I75" s="2366" t="s">
        <v>1617</v>
      </c>
      <c r="J75" s="2366" t="s">
        <v>1599</v>
      </c>
      <c r="K75" s="2448">
        <v>9</v>
      </c>
      <c r="L75" s="2449">
        <v>0.18</v>
      </c>
      <c r="M75" s="2406">
        <v>0</v>
      </c>
      <c r="N75" s="2339">
        <v>0</v>
      </c>
      <c r="O75" s="3049"/>
      <c r="P75" s="2444">
        <v>66650000</v>
      </c>
      <c r="Q75" s="2450">
        <v>66650000</v>
      </c>
      <c r="R75" s="896">
        <v>66650000</v>
      </c>
      <c r="S75" s="896">
        <v>0</v>
      </c>
      <c r="T75" s="2341">
        <f t="shared" si="21"/>
        <v>1</v>
      </c>
      <c r="U75" s="2341">
        <f t="shared" si="21"/>
        <v>0</v>
      </c>
      <c r="V75" s="2451">
        <v>45469</v>
      </c>
      <c r="W75" s="2451" t="s">
        <v>1580</v>
      </c>
      <c r="X75" s="2390" t="s">
        <v>5041</v>
      </c>
      <c r="Y75" s="3042"/>
    </row>
    <row r="76" spans="1:25" ht="54">
      <c r="A76" s="3042"/>
      <c r="B76" s="3042"/>
      <c r="C76" s="3042"/>
      <c r="D76" s="3042"/>
      <c r="E76" s="2365" t="s">
        <v>1618</v>
      </c>
      <c r="F76" s="2348"/>
      <c r="G76" s="2368"/>
      <c r="H76" s="2434"/>
      <c r="I76" s="2366" t="s">
        <v>1619</v>
      </c>
      <c r="J76" s="2366" t="s">
        <v>1593</v>
      </c>
      <c r="K76" s="2448">
        <v>150</v>
      </c>
      <c r="L76" s="2449">
        <v>0.2</v>
      </c>
      <c r="M76" s="2406">
        <v>0</v>
      </c>
      <c r="N76" s="2339">
        <v>0</v>
      </c>
      <c r="O76" s="3049"/>
      <c r="P76" s="2444">
        <v>70750000</v>
      </c>
      <c r="Q76" s="2450">
        <v>70750000</v>
      </c>
      <c r="R76" s="896">
        <v>70750000</v>
      </c>
      <c r="S76" s="896">
        <v>0</v>
      </c>
      <c r="T76" s="2341">
        <f t="shared" si="21"/>
        <v>1</v>
      </c>
      <c r="U76" s="2341">
        <f t="shared" si="21"/>
        <v>0</v>
      </c>
      <c r="V76" s="2443">
        <v>45469</v>
      </c>
      <c r="W76" s="2443" t="s">
        <v>1580</v>
      </c>
      <c r="X76" s="2390" t="s">
        <v>5042</v>
      </c>
      <c r="Y76" s="3042"/>
    </row>
    <row r="77" spans="1:25" ht="54">
      <c r="A77" s="3040"/>
      <c r="B77" s="3040"/>
      <c r="C77" s="3040"/>
      <c r="D77" s="3040"/>
      <c r="E77" s="2365" t="s">
        <v>1620</v>
      </c>
      <c r="F77" s="2348"/>
      <c r="G77" s="2368"/>
      <c r="H77" s="2434"/>
      <c r="I77" s="2371" t="s">
        <v>1621</v>
      </c>
      <c r="J77" s="2366" t="s">
        <v>1622</v>
      </c>
      <c r="K77" s="2448">
        <v>9</v>
      </c>
      <c r="L77" s="2449">
        <v>0.62</v>
      </c>
      <c r="M77" s="2406">
        <v>0</v>
      </c>
      <c r="N77" s="2339">
        <v>0</v>
      </c>
      <c r="O77" s="3050"/>
      <c r="P77" s="2444">
        <v>228600000</v>
      </c>
      <c r="Q77" s="2450">
        <v>228600000</v>
      </c>
      <c r="R77" s="896">
        <v>228600000</v>
      </c>
      <c r="S77" s="896">
        <v>0</v>
      </c>
      <c r="T77" s="2341">
        <f t="shared" si="21"/>
        <v>1</v>
      </c>
      <c r="U77" s="2341">
        <f t="shared" si="21"/>
        <v>0</v>
      </c>
      <c r="V77" s="2443">
        <v>45469</v>
      </c>
      <c r="W77" s="2443" t="s">
        <v>1580</v>
      </c>
      <c r="X77" s="2390" t="s">
        <v>5042</v>
      </c>
      <c r="Y77" s="3040"/>
    </row>
    <row r="78" spans="1:25">
      <c r="A78" s="2348"/>
      <c r="B78" s="2452">
        <v>5203</v>
      </c>
      <c r="C78" s="2343" t="s">
        <v>101</v>
      </c>
      <c r="D78" s="2453" t="s">
        <v>149</v>
      </c>
      <c r="E78" s="2350"/>
      <c r="F78" s="2344"/>
      <c r="G78" s="2366"/>
      <c r="H78" s="2366"/>
      <c r="I78" s="2366"/>
      <c r="J78" s="2368"/>
      <c r="K78" s="2345"/>
      <c r="L78" s="2454"/>
      <c r="M78" s="2406"/>
      <c r="N78" s="2339"/>
      <c r="O78" s="2341"/>
      <c r="P78" s="2437"/>
      <c r="Q78" s="896"/>
      <c r="R78" s="2406"/>
      <c r="S78" s="2406"/>
      <c r="T78" s="2341"/>
      <c r="U78" s="2341"/>
      <c r="V78" s="2455"/>
      <c r="W78" s="2455"/>
      <c r="X78" s="411"/>
      <c r="Y78" s="2348"/>
    </row>
    <row r="79" spans="1:25" ht="49.5">
      <c r="A79" s="2348"/>
      <c r="B79" s="2349">
        <v>5203001</v>
      </c>
      <c r="C79" s="2374" t="s">
        <v>102</v>
      </c>
      <c r="D79" s="2433" t="s">
        <v>1623</v>
      </c>
      <c r="E79" s="2350"/>
      <c r="F79" s="2344"/>
      <c r="G79" s="2366"/>
      <c r="H79" s="2366"/>
      <c r="I79" s="2366"/>
      <c r="J79" s="2368"/>
      <c r="K79" s="2345"/>
      <c r="L79" s="2454"/>
      <c r="M79" s="2406"/>
      <c r="N79" s="2403"/>
      <c r="O79" s="2341"/>
      <c r="P79" s="2437"/>
      <c r="Q79" s="2340"/>
      <c r="R79" s="2340"/>
      <c r="S79" s="2340"/>
      <c r="T79" s="2341"/>
      <c r="U79" s="2341"/>
      <c r="V79" s="2455"/>
      <c r="W79" s="2455"/>
      <c r="X79" s="411"/>
      <c r="Y79" s="2348"/>
    </row>
    <row r="80" spans="1:25" ht="38.25">
      <c r="A80" s="2348"/>
      <c r="B80" s="2358">
        <v>52030010001</v>
      </c>
      <c r="C80" s="2344" t="s">
        <v>103</v>
      </c>
      <c r="D80" s="2439" t="s">
        <v>1624</v>
      </c>
      <c r="E80" s="2350"/>
      <c r="F80" s="2361"/>
      <c r="G80" s="2366"/>
      <c r="H80" s="2366"/>
      <c r="I80" s="2366"/>
      <c r="J80" s="2368"/>
      <c r="K80" s="2345"/>
      <c r="L80" s="2454"/>
      <c r="M80" s="2406"/>
      <c r="N80" s="2339"/>
      <c r="O80" s="2341"/>
      <c r="P80" s="2437"/>
      <c r="Q80" s="896"/>
      <c r="R80" s="896"/>
      <c r="S80" s="896"/>
      <c r="T80" s="2341"/>
      <c r="U80" s="2341"/>
      <c r="V80" s="2455"/>
      <c r="W80" s="2455"/>
      <c r="X80" s="411"/>
      <c r="Y80" s="2348"/>
    </row>
    <row r="81" spans="1:25">
      <c r="A81" s="3043">
        <v>4145</v>
      </c>
      <c r="B81" s="3044"/>
      <c r="C81" s="3043" t="s">
        <v>109</v>
      </c>
      <c r="D81" s="3052" t="s">
        <v>1625</v>
      </c>
      <c r="E81" s="2365" t="s">
        <v>1626</v>
      </c>
      <c r="F81" s="2348"/>
      <c r="G81" s="2360"/>
      <c r="H81" s="2431"/>
      <c r="I81" s="2360"/>
      <c r="J81" s="2345"/>
      <c r="K81" s="2369">
        <f>SUM(K84)</f>
        <v>1000</v>
      </c>
      <c r="L81" s="2449">
        <f>SUM(L82:L84)</f>
        <v>1</v>
      </c>
      <c r="M81" s="2406"/>
      <c r="N81" s="2339">
        <f>SUM(N82:N84)</f>
        <v>1.5000000000000003E-2</v>
      </c>
      <c r="O81" s="3048">
        <f>IF(Q81&gt;0,N81,"na")</f>
        <v>1.5000000000000003E-2</v>
      </c>
      <c r="P81" s="2369">
        <f t="shared" ref="P81:S81" si="22">SUM(P82:P84)</f>
        <v>2572618056</v>
      </c>
      <c r="Q81" s="2369">
        <f t="shared" si="22"/>
        <v>3025384870</v>
      </c>
      <c r="R81" s="2369">
        <f t="shared" si="22"/>
        <v>1778443106</v>
      </c>
      <c r="S81" s="2369">
        <f t="shared" si="22"/>
        <v>198918000</v>
      </c>
      <c r="T81" s="2341">
        <f t="shared" ref="T81:U84" si="23">IF(Q81=0,0,R81/Q81)</f>
        <v>0.58784028558984625</v>
      </c>
      <c r="U81" s="2341">
        <f t="shared" si="23"/>
        <v>0.11184951564033896</v>
      </c>
      <c r="V81" s="2443" t="s">
        <v>1579</v>
      </c>
      <c r="W81" s="2443" t="s">
        <v>1580</v>
      </c>
      <c r="X81" s="411"/>
      <c r="Y81" s="3039" t="s">
        <v>1518</v>
      </c>
    </row>
    <row r="82" spans="1:25" ht="40.5">
      <c r="A82" s="3042"/>
      <c r="B82" s="3042"/>
      <c r="C82" s="3042"/>
      <c r="D82" s="3042"/>
      <c r="E82" s="2365" t="s">
        <v>1627</v>
      </c>
      <c r="F82" s="2334"/>
      <c r="G82" s="2389"/>
      <c r="H82" s="2431"/>
      <c r="I82" s="2456" t="s">
        <v>1628</v>
      </c>
      <c r="J82" s="2334" t="s">
        <v>106</v>
      </c>
      <c r="K82" s="2369">
        <v>300</v>
      </c>
      <c r="L82" s="2435">
        <v>0.01</v>
      </c>
      <c r="M82" s="2406">
        <v>30</v>
      </c>
      <c r="N82" s="2403">
        <v>1E-3</v>
      </c>
      <c r="O82" s="3049"/>
      <c r="P82" s="2442">
        <v>33000000</v>
      </c>
      <c r="Q82" s="2340">
        <v>251623407</v>
      </c>
      <c r="R82" s="2340">
        <v>33000000</v>
      </c>
      <c r="S82" s="2340">
        <v>0</v>
      </c>
      <c r="T82" s="2341">
        <f t="shared" si="23"/>
        <v>0.13114837126420437</v>
      </c>
      <c r="U82" s="2341">
        <f t="shared" si="23"/>
        <v>0</v>
      </c>
      <c r="V82" s="2438"/>
      <c r="W82" s="2438"/>
      <c r="X82" s="2390" t="s">
        <v>5043</v>
      </c>
      <c r="Y82" s="3042"/>
    </row>
    <row r="83" spans="1:25" ht="81">
      <c r="A83" s="3042"/>
      <c r="B83" s="3042"/>
      <c r="C83" s="3042"/>
      <c r="D83" s="3042"/>
      <c r="E83" s="2365" t="s">
        <v>1629</v>
      </c>
      <c r="F83" s="2348"/>
      <c r="G83" s="2389"/>
      <c r="H83" s="2431"/>
      <c r="I83" s="2456" t="s">
        <v>1497</v>
      </c>
      <c r="J83" s="2334" t="s">
        <v>1498</v>
      </c>
      <c r="K83" s="2369">
        <v>1</v>
      </c>
      <c r="L83" s="2435">
        <v>0.71</v>
      </c>
      <c r="M83" s="2406">
        <v>0</v>
      </c>
      <c r="N83" s="2339">
        <v>0</v>
      </c>
      <c r="O83" s="3049"/>
      <c r="P83" s="2442">
        <v>1819203706</v>
      </c>
      <c r="Q83" s="2340">
        <v>1819203706</v>
      </c>
      <c r="R83" s="2340">
        <v>1073531106</v>
      </c>
      <c r="S83" s="2340">
        <v>198918000</v>
      </c>
      <c r="T83" s="2341">
        <f t="shared" si="23"/>
        <v>0.59011044362945031</v>
      </c>
      <c r="U83" s="2341">
        <f t="shared" si="23"/>
        <v>0.18529318702386999</v>
      </c>
      <c r="V83" s="2438" t="s">
        <v>1579</v>
      </c>
      <c r="W83" s="2438" t="s">
        <v>1580</v>
      </c>
      <c r="X83" s="2390" t="s">
        <v>5044</v>
      </c>
      <c r="Y83" s="3042"/>
    </row>
    <row r="84" spans="1:25" ht="67.5">
      <c r="A84" s="3040"/>
      <c r="B84" s="3040"/>
      <c r="C84" s="3040"/>
      <c r="D84" s="3040"/>
      <c r="E84" s="2365" t="s">
        <v>1630</v>
      </c>
      <c r="F84" s="2334"/>
      <c r="G84" s="2334" t="s">
        <v>1631</v>
      </c>
      <c r="H84" s="2431"/>
      <c r="I84" s="2456" t="s">
        <v>1632</v>
      </c>
      <c r="J84" s="2334" t="s">
        <v>1489</v>
      </c>
      <c r="K84" s="2369">
        <v>1000</v>
      </c>
      <c r="L84" s="2435">
        <v>0.28000000000000003</v>
      </c>
      <c r="M84" s="2406">
        <v>50</v>
      </c>
      <c r="N84" s="2339">
        <v>1.4000000000000002E-2</v>
      </c>
      <c r="O84" s="3050"/>
      <c r="P84" s="2442">
        <v>720414350</v>
      </c>
      <c r="Q84" s="2340">
        <v>954557757</v>
      </c>
      <c r="R84" s="2340">
        <v>671912000</v>
      </c>
      <c r="S84" s="2340">
        <v>0</v>
      </c>
      <c r="T84" s="2341">
        <f t="shared" si="23"/>
        <v>0.70389873747576703</v>
      </c>
      <c r="U84" s="2341">
        <f t="shared" si="23"/>
        <v>0</v>
      </c>
      <c r="V84" s="2438">
        <v>45397</v>
      </c>
      <c r="W84" s="2438">
        <v>45657</v>
      </c>
      <c r="X84" s="2390" t="s">
        <v>5045</v>
      </c>
      <c r="Y84" s="3040"/>
    </row>
    <row r="85" spans="1:25" ht="76.5">
      <c r="A85" s="2348"/>
      <c r="B85" s="2358">
        <v>52030010002</v>
      </c>
      <c r="C85" s="2344" t="s">
        <v>103</v>
      </c>
      <c r="D85" s="2439" t="s">
        <v>1633</v>
      </c>
      <c r="E85" s="2350"/>
      <c r="F85" s="2399"/>
      <c r="G85" s="2360"/>
      <c r="H85" s="2360"/>
      <c r="I85" s="2360"/>
      <c r="J85" s="2345"/>
      <c r="K85" s="2457"/>
      <c r="L85" s="2435"/>
      <c r="M85" s="2406"/>
      <c r="N85" s="2339"/>
      <c r="O85" s="2458"/>
      <c r="P85" s="2437"/>
      <c r="Q85" s="2340"/>
      <c r="R85" s="2340"/>
      <c r="S85" s="2340"/>
      <c r="T85" s="2341"/>
      <c r="U85" s="2341"/>
      <c r="V85" s="2447"/>
      <c r="W85" s="2447"/>
      <c r="X85" s="411"/>
      <c r="Y85" s="2443"/>
    </row>
    <row r="86" spans="1:25">
      <c r="A86" s="3043">
        <v>4145</v>
      </c>
      <c r="B86" s="3043"/>
      <c r="C86" s="3043" t="s">
        <v>109</v>
      </c>
      <c r="D86" s="3039" t="s">
        <v>1634</v>
      </c>
      <c r="E86" s="2365" t="s">
        <v>1635</v>
      </c>
      <c r="F86" s="2366"/>
      <c r="G86" s="2389"/>
      <c r="H86" s="2367"/>
      <c r="I86" s="2389"/>
      <c r="J86" s="2389"/>
      <c r="K86" s="2369">
        <f>+K87</f>
        <v>6500</v>
      </c>
      <c r="L86" s="2435">
        <f>SUM(L87:L90)</f>
        <v>1</v>
      </c>
      <c r="M86" s="2406"/>
      <c r="N86" s="2339">
        <f>SUM(N87:N90)</f>
        <v>0.29364615384615389</v>
      </c>
      <c r="O86" s="3048">
        <f>IF(Q86&gt;0,N86,"na")</f>
        <v>0.29364615384615389</v>
      </c>
      <c r="P86" s="2442">
        <f t="shared" ref="P86:S86" si="24">SUM(P87:P90)</f>
        <v>500000000</v>
      </c>
      <c r="Q86" s="896">
        <f t="shared" si="24"/>
        <v>500000000</v>
      </c>
      <c r="R86" s="896">
        <f t="shared" si="24"/>
        <v>203651200</v>
      </c>
      <c r="S86" s="896">
        <f t="shared" si="24"/>
        <v>107066000</v>
      </c>
      <c r="T86" s="2341">
        <f t="shared" ref="T86:U90" si="25">IF(Q86=0,0,R86/Q86)</f>
        <v>0.40730240000000001</v>
      </c>
      <c r="U86" s="2341">
        <f t="shared" si="25"/>
        <v>0.52573223236592759</v>
      </c>
      <c r="V86" s="2443" t="s">
        <v>1579</v>
      </c>
      <c r="W86" s="2443" t="s">
        <v>1580</v>
      </c>
      <c r="X86" s="411"/>
      <c r="Y86" s="3039" t="s">
        <v>1518</v>
      </c>
    </row>
    <row r="87" spans="1:25" ht="67.5">
      <c r="A87" s="3042"/>
      <c r="B87" s="3042"/>
      <c r="C87" s="3042"/>
      <c r="D87" s="3042"/>
      <c r="E87" s="2365" t="s">
        <v>1636</v>
      </c>
      <c r="F87" s="2366"/>
      <c r="G87" s="2334" t="s">
        <v>1637</v>
      </c>
      <c r="H87" s="2431"/>
      <c r="I87" s="2456" t="s">
        <v>1638</v>
      </c>
      <c r="J87" s="2334" t="s">
        <v>1639</v>
      </c>
      <c r="K87" s="2369">
        <v>6500</v>
      </c>
      <c r="L87" s="2435">
        <v>0.4</v>
      </c>
      <c r="M87" s="2406">
        <v>511</v>
      </c>
      <c r="N87" s="2339">
        <v>3.1446153846153846E-2</v>
      </c>
      <c r="O87" s="3049"/>
      <c r="P87" s="2442">
        <v>188694450</v>
      </c>
      <c r="Q87" s="2340">
        <v>188694450</v>
      </c>
      <c r="R87" s="2340">
        <v>59100500</v>
      </c>
      <c r="S87" s="2340">
        <v>38274000</v>
      </c>
      <c r="T87" s="2341">
        <f t="shared" si="25"/>
        <v>0.31320741018085058</v>
      </c>
      <c r="U87" s="2341">
        <f t="shared" si="25"/>
        <v>0.6476087342746677</v>
      </c>
      <c r="V87" s="2443" t="s">
        <v>1579</v>
      </c>
      <c r="W87" s="2443" t="s">
        <v>1580</v>
      </c>
      <c r="X87" s="2390" t="s">
        <v>5046</v>
      </c>
      <c r="Y87" s="3042"/>
    </row>
    <row r="88" spans="1:25" ht="40.5">
      <c r="A88" s="3042"/>
      <c r="B88" s="3042"/>
      <c r="C88" s="3042"/>
      <c r="D88" s="3042"/>
      <c r="E88" s="2365" t="s">
        <v>1640</v>
      </c>
      <c r="F88" s="2366"/>
      <c r="G88" s="2389"/>
      <c r="H88" s="2362"/>
      <c r="I88" s="2456" t="s">
        <v>1641</v>
      </c>
      <c r="J88" s="2334" t="s">
        <v>1544</v>
      </c>
      <c r="K88" s="2369">
        <v>1</v>
      </c>
      <c r="L88" s="2435">
        <v>0.2</v>
      </c>
      <c r="M88" s="2181">
        <v>0</v>
      </c>
      <c r="N88" s="2410">
        <v>9.6000000000000002E-2</v>
      </c>
      <c r="O88" s="3049"/>
      <c r="P88" s="2442">
        <v>169978340</v>
      </c>
      <c r="Q88" s="2340">
        <v>169978340</v>
      </c>
      <c r="R88" s="2340">
        <v>65764324</v>
      </c>
      <c r="S88" s="2340">
        <v>36369412</v>
      </c>
      <c r="T88" s="2341">
        <f t="shared" si="25"/>
        <v>0.38689826009596284</v>
      </c>
      <c r="U88" s="2341">
        <f t="shared" si="25"/>
        <v>0.55302647070469391</v>
      </c>
      <c r="V88" s="2443" t="s">
        <v>1579</v>
      </c>
      <c r="W88" s="2443" t="s">
        <v>1580</v>
      </c>
      <c r="X88" s="2390" t="s">
        <v>5047</v>
      </c>
      <c r="Y88" s="3042"/>
    </row>
    <row r="89" spans="1:25" ht="40.5">
      <c r="A89" s="3042"/>
      <c r="B89" s="3042"/>
      <c r="C89" s="3042"/>
      <c r="D89" s="3042"/>
      <c r="E89" s="2365" t="s">
        <v>1642</v>
      </c>
      <c r="F89" s="2366"/>
      <c r="G89" s="2389"/>
      <c r="H89" s="2362"/>
      <c r="I89" s="2456" t="s">
        <v>1643</v>
      </c>
      <c r="J89" s="2334" t="s">
        <v>106</v>
      </c>
      <c r="K89" s="2369">
        <v>7000</v>
      </c>
      <c r="L89" s="2435">
        <v>0.2</v>
      </c>
      <c r="M89" s="2181">
        <v>3157</v>
      </c>
      <c r="N89" s="2410">
        <v>9.0200000000000016E-2</v>
      </c>
      <c r="O89" s="3049"/>
      <c r="P89" s="2442">
        <v>94800520</v>
      </c>
      <c r="Q89" s="2340">
        <v>94800520</v>
      </c>
      <c r="R89" s="2340">
        <v>61652700</v>
      </c>
      <c r="S89" s="2340">
        <v>26629500</v>
      </c>
      <c r="T89" s="2341">
        <f t="shared" si="25"/>
        <v>0.65034136943552634</v>
      </c>
      <c r="U89" s="2341">
        <f t="shared" si="25"/>
        <v>0.43192755548418804</v>
      </c>
      <c r="V89" s="2443" t="s">
        <v>1579</v>
      </c>
      <c r="W89" s="2443" t="s">
        <v>1580</v>
      </c>
      <c r="X89" s="2390" t="s">
        <v>5048</v>
      </c>
      <c r="Y89" s="3042"/>
    </row>
    <row r="90" spans="1:25" ht="40.5">
      <c r="A90" s="3040"/>
      <c r="B90" s="3040"/>
      <c r="C90" s="3040"/>
      <c r="D90" s="3040"/>
      <c r="E90" s="2365" t="s">
        <v>1644</v>
      </c>
      <c r="F90" s="2366"/>
      <c r="G90" s="2389"/>
      <c r="H90" s="2362"/>
      <c r="I90" s="2456" t="s">
        <v>1645</v>
      </c>
      <c r="J90" s="2334" t="s">
        <v>1646</v>
      </c>
      <c r="K90" s="2369">
        <v>2</v>
      </c>
      <c r="L90" s="2435">
        <v>0.2</v>
      </c>
      <c r="M90" s="2406">
        <v>0</v>
      </c>
      <c r="N90" s="2403">
        <v>7.6000000000000012E-2</v>
      </c>
      <c r="O90" s="3050"/>
      <c r="P90" s="2442">
        <v>46526690</v>
      </c>
      <c r="Q90" s="2340">
        <v>46526690</v>
      </c>
      <c r="R90" s="2340">
        <v>17133676</v>
      </c>
      <c r="S90" s="2340">
        <v>5793088</v>
      </c>
      <c r="T90" s="2341">
        <f t="shared" si="25"/>
        <v>0.36825478021324964</v>
      </c>
      <c r="U90" s="2341">
        <f t="shared" si="25"/>
        <v>0.33811121442940789</v>
      </c>
      <c r="V90" s="2443" t="s">
        <v>1579</v>
      </c>
      <c r="W90" s="2443" t="s">
        <v>1580</v>
      </c>
      <c r="X90" s="2390" t="s">
        <v>5049</v>
      </c>
      <c r="Y90" s="3040"/>
    </row>
    <row r="91" spans="1:25" ht="38.25">
      <c r="A91" s="2348"/>
      <c r="B91" s="2344">
        <v>52030010003</v>
      </c>
      <c r="C91" s="2344" t="s">
        <v>103</v>
      </c>
      <c r="D91" s="2327" t="s">
        <v>1647</v>
      </c>
      <c r="E91" s="2350"/>
      <c r="F91" s="2399"/>
      <c r="G91" s="2389"/>
      <c r="H91" s="2389"/>
      <c r="I91" s="2389"/>
      <c r="J91" s="2389"/>
      <c r="K91" s="2457"/>
      <c r="L91" s="2435"/>
      <c r="M91" s="2406"/>
      <c r="N91" s="2339"/>
      <c r="O91" s="2341"/>
      <c r="P91" s="2437"/>
      <c r="Q91" s="896"/>
      <c r="R91" s="2406"/>
      <c r="S91" s="2406"/>
      <c r="T91" s="2341"/>
      <c r="U91" s="2341"/>
      <c r="V91" s="2438"/>
      <c r="W91" s="2447"/>
      <c r="X91" s="411"/>
      <c r="Y91" s="2348"/>
    </row>
    <row r="92" spans="1:25">
      <c r="A92" s="3043">
        <v>4145</v>
      </c>
      <c r="B92" s="3044"/>
      <c r="C92" s="3043" t="s">
        <v>109</v>
      </c>
      <c r="D92" s="3052" t="s">
        <v>1648</v>
      </c>
      <c r="E92" s="2365" t="s">
        <v>1649</v>
      </c>
      <c r="F92" s="2348"/>
      <c r="G92" s="2360"/>
      <c r="H92" s="2431"/>
      <c r="I92" s="2360"/>
      <c r="J92" s="2345"/>
      <c r="K92" s="2369">
        <f t="shared" ref="K92:L92" si="26">SUM(K93:K94)</f>
        <v>251</v>
      </c>
      <c r="L92" s="2435">
        <f t="shared" si="26"/>
        <v>1</v>
      </c>
      <c r="M92" s="2406"/>
      <c r="N92" s="2339">
        <f>SUM(N93:N94)</f>
        <v>0.19329032258064516</v>
      </c>
      <c r="O92" s="3048">
        <f>IF(Q92&gt;0,N92,"na")</f>
        <v>0.19329032258064516</v>
      </c>
      <c r="P92" s="2459">
        <f t="shared" ref="P92:S92" si="27">SUM(P93:P94)</f>
        <v>708740000</v>
      </c>
      <c r="Q92" s="896">
        <f t="shared" si="27"/>
        <v>1008740000</v>
      </c>
      <c r="R92" s="2406">
        <f t="shared" si="27"/>
        <v>341751833</v>
      </c>
      <c r="S92" s="2406">
        <f t="shared" si="27"/>
        <v>86904000</v>
      </c>
      <c r="T92" s="2341">
        <f t="shared" ref="T92:U94" si="28">IF(Q92=0,0,R92/Q92)</f>
        <v>0.3387908013958007</v>
      </c>
      <c r="U92" s="2341">
        <f t="shared" si="28"/>
        <v>0.25428978459934115</v>
      </c>
      <c r="V92" s="2443" t="s">
        <v>1579</v>
      </c>
      <c r="W92" s="2443" t="s">
        <v>1580</v>
      </c>
      <c r="X92" s="411"/>
      <c r="Y92" s="3039" t="s">
        <v>1518</v>
      </c>
    </row>
    <row r="93" spans="1:25" ht="81">
      <c r="A93" s="3042"/>
      <c r="B93" s="3042"/>
      <c r="C93" s="3042"/>
      <c r="D93" s="3042"/>
      <c r="E93" s="2365" t="s">
        <v>1650</v>
      </c>
      <c r="F93" s="2345"/>
      <c r="G93" s="3053" t="s">
        <v>5783</v>
      </c>
      <c r="H93" s="3054"/>
      <c r="I93" s="2371" t="s">
        <v>1651</v>
      </c>
      <c r="J93" s="2371" t="s">
        <v>1652</v>
      </c>
      <c r="K93" s="2369">
        <v>220</v>
      </c>
      <c r="L93" s="2435">
        <v>0.88</v>
      </c>
      <c r="M93" s="424">
        <v>28</v>
      </c>
      <c r="N93" s="2341">
        <v>0.112</v>
      </c>
      <c r="O93" s="3049"/>
      <c r="P93" s="2442">
        <v>609687200</v>
      </c>
      <c r="Q93" s="2406">
        <v>745484000</v>
      </c>
      <c r="R93" s="2406">
        <v>263168273</v>
      </c>
      <c r="S93" s="2406">
        <v>42524440</v>
      </c>
      <c r="T93" s="2341">
        <f t="shared" si="28"/>
        <v>0.35301666165873447</v>
      </c>
      <c r="U93" s="2341">
        <f t="shared" si="28"/>
        <v>0.16158649944858663</v>
      </c>
      <c r="V93" s="2447" t="s">
        <v>1579</v>
      </c>
      <c r="W93" s="2447" t="s">
        <v>1580</v>
      </c>
      <c r="X93" s="411" t="s">
        <v>5050</v>
      </c>
      <c r="Y93" s="3042"/>
    </row>
    <row r="94" spans="1:25" ht="81">
      <c r="A94" s="3040"/>
      <c r="B94" s="3040"/>
      <c r="C94" s="3040"/>
      <c r="D94" s="3040"/>
      <c r="E94" s="2365" t="s">
        <v>1653</v>
      </c>
      <c r="F94" s="2345"/>
      <c r="G94" s="3040"/>
      <c r="H94" s="3040"/>
      <c r="I94" s="2371" t="s">
        <v>1654</v>
      </c>
      <c r="J94" s="2371" t="s">
        <v>1655</v>
      </c>
      <c r="K94" s="2369">
        <v>31</v>
      </c>
      <c r="L94" s="2435">
        <v>0.12</v>
      </c>
      <c r="M94" s="424">
        <v>21</v>
      </c>
      <c r="N94" s="2341">
        <v>8.1290322580645155E-2</v>
      </c>
      <c r="O94" s="3049"/>
      <c r="P94" s="2442">
        <v>99052800</v>
      </c>
      <c r="Q94" s="2406">
        <v>263256000</v>
      </c>
      <c r="R94" s="2406">
        <v>78583560</v>
      </c>
      <c r="S94" s="2406">
        <v>44379560</v>
      </c>
      <c r="T94" s="2341">
        <f t="shared" si="28"/>
        <v>0.29850624487191174</v>
      </c>
      <c r="U94" s="2341">
        <f t="shared" si="28"/>
        <v>0.56474356722958341</v>
      </c>
      <c r="V94" s="2438" t="s">
        <v>1579</v>
      </c>
      <c r="W94" s="2438" t="s">
        <v>1580</v>
      </c>
      <c r="X94" s="411" t="s">
        <v>5051</v>
      </c>
      <c r="Y94" s="3040"/>
    </row>
    <row r="95" spans="1:25" ht="25.5">
      <c r="A95" s="2348"/>
      <c r="B95" s="2358">
        <v>52030010004</v>
      </c>
      <c r="C95" s="2344" t="s">
        <v>103</v>
      </c>
      <c r="D95" s="2439" t="s">
        <v>1656</v>
      </c>
      <c r="E95" s="2350"/>
      <c r="F95" s="2353"/>
      <c r="G95" s="2366"/>
      <c r="H95" s="2366"/>
      <c r="I95" s="2366"/>
      <c r="J95" s="2368"/>
      <c r="K95" s="2345"/>
      <c r="L95" s="2435"/>
      <c r="M95" s="2406"/>
      <c r="N95" s="2403"/>
      <c r="O95" s="2460"/>
      <c r="P95" s="2437"/>
      <c r="Q95" s="896"/>
      <c r="R95" s="896"/>
      <c r="S95" s="896"/>
      <c r="T95" s="2341"/>
      <c r="U95" s="2341"/>
      <c r="V95" s="2447"/>
      <c r="W95" s="2447"/>
      <c r="X95" s="411"/>
      <c r="Y95" s="2348"/>
    </row>
    <row r="96" spans="1:25">
      <c r="A96" s="3043">
        <v>4145</v>
      </c>
      <c r="B96" s="3044"/>
      <c r="C96" s="3043" t="s">
        <v>109</v>
      </c>
      <c r="D96" s="3052" t="s">
        <v>1657</v>
      </c>
      <c r="E96" s="2365" t="s">
        <v>1658</v>
      </c>
      <c r="F96" s="2404"/>
      <c r="G96" s="2360"/>
      <c r="H96" s="2404"/>
      <c r="I96" s="2360"/>
      <c r="J96" s="2345"/>
      <c r="K96" s="2369">
        <f>SUM(K99)</f>
        <v>12</v>
      </c>
      <c r="L96" s="2435">
        <f>SUM(L97:L99)</f>
        <v>1</v>
      </c>
      <c r="M96" s="2406"/>
      <c r="N96" s="2339">
        <f>SUM(N97:N99)</f>
        <v>0.253</v>
      </c>
      <c r="O96" s="3048">
        <f>IF(Q96&gt;0,N96,"na")</f>
        <v>0.253</v>
      </c>
      <c r="P96" s="2459">
        <f t="shared" ref="P96:S96" si="29">SUM(P97:P99)</f>
        <v>1441656621</v>
      </c>
      <c r="Q96" s="2459">
        <f t="shared" si="29"/>
        <v>1901121950</v>
      </c>
      <c r="R96" s="2459">
        <f t="shared" si="29"/>
        <v>601727105</v>
      </c>
      <c r="S96" s="2459">
        <f t="shared" si="29"/>
        <v>53213000</v>
      </c>
      <c r="T96" s="2341">
        <f t="shared" ref="T96:U99" si="30">IF(Q96=0,0,R96/Q96)</f>
        <v>0.31651157623002563</v>
      </c>
      <c r="U96" s="2341">
        <f t="shared" si="30"/>
        <v>8.8433775972249079E-2</v>
      </c>
      <c r="V96" s="2443" t="s">
        <v>1579</v>
      </c>
      <c r="W96" s="2443" t="s">
        <v>1580</v>
      </c>
      <c r="X96" s="411"/>
      <c r="Y96" s="3039" t="s">
        <v>1518</v>
      </c>
    </row>
    <row r="97" spans="1:25" ht="54">
      <c r="A97" s="3042"/>
      <c r="B97" s="3042"/>
      <c r="C97" s="3042"/>
      <c r="D97" s="3042"/>
      <c r="E97" s="2365" t="s">
        <v>1659</v>
      </c>
      <c r="F97" s="2366"/>
      <c r="G97" s="2345"/>
      <c r="H97" s="2461"/>
      <c r="I97" s="2371" t="s">
        <v>1660</v>
      </c>
      <c r="J97" s="2371" t="s">
        <v>1661</v>
      </c>
      <c r="K97" s="2336">
        <v>2</v>
      </c>
      <c r="L97" s="2462">
        <v>0.38</v>
      </c>
      <c r="M97" s="2406">
        <v>0</v>
      </c>
      <c r="N97" s="2339">
        <v>0</v>
      </c>
      <c r="O97" s="3049"/>
      <c r="P97" s="2442">
        <v>540447005</v>
      </c>
      <c r="Q97" s="896">
        <v>835447005</v>
      </c>
      <c r="R97" s="896">
        <v>278584509</v>
      </c>
      <c r="S97" s="896">
        <v>13459000</v>
      </c>
      <c r="T97" s="2341">
        <f t="shared" si="30"/>
        <v>0.33345563193442773</v>
      </c>
      <c r="U97" s="2341">
        <f t="shared" si="30"/>
        <v>4.8312090461569777E-2</v>
      </c>
      <c r="V97" s="2447">
        <v>45397</v>
      </c>
      <c r="W97" s="2447">
        <v>45657</v>
      </c>
      <c r="X97" s="411" t="s">
        <v>5052</v>
      </c>
      <c r="Y97" s="3042"/>
    </row>
    <row r="98" spans="1:25" ht="54">
      <c r="A98" s="3042"/>
      <c r="B98" s="3042"/>
      <c r="C98" s="3042"/>
      <c r="D98" s="3042"/>
      <c r="E98" s="2365" t="s">
        <v>1662</v>
      </c>
      <c r="F98" s="2366"/>
      <c r="G98" s="2368"/>
      <c r="H98" s="2404"/>
      <c r="I98" s="2371" t="s">
        <v>1663</v>
      </c>
      <c r="J98" s="2371" t="s">
        <v>106</v>
      </c>
      <c r="K98" s="2336">
        <v>100</v>
      </c>
      <c r="L98" s="2462">
        <v>0.46</v>
      </c>
      <c r="M98" s="2406">
        <v>55</v>
      </c>
      <c r="N98" s="2339">
        <v>0.253</v>
      </c>
      <c r="O98" s="3049"/>
      <c r="P98" s="2442">
        <v>664346224</v>
      </c>
      <c r="Q98" s="896">
        <v>828811553</v>
      </c>
      <c r="R98" s="896">
        <v>300507596</v>
      </c>
      <c r="S98" s="896">
        <v>39754000</v>
      </c>
      <c r="T98" s="2341">
        <f t="shared" si="30"/>
        <v>0.362576504770319</v>
      </c>
      <c r="U98" s="2341">
        <f t="shared" si="30"/>
        <v>0.13228950126105965</v>
      </c>
      <c r="V98" s="2438" t="s">
        <v>1579</v>
      </c>
      <c r="W98" s="2438" t="s">
        <v>1580</v>
      </c>
      <c r="X98" s="2390" t="s">
        <v>5053</v>
      </c>
      <c r="Y98" s="3042"/>
    </row>
    <row r="99" spans="1:25" ht="67.5">
      <c r="A99" s="3040"/>
      <c r="B99" s="3040"/>
      <c r="C99" s="3040"/>
      <c r="D99" s="3040"/>
      <c r="E99" s="2365" t="s">
        <v>1664</v>
      </c>
      <c r="F99" s="2366"/>
      <c r="G99" s="2366" t="s">
        <v>1665</v>
      </c>
      <c r="H99" s="2404"/>
      <c r="I99" s="2371" t="s">
        <v>1666</v>
      </c>
      <c r="J99" s="2371" t="s">
        <v>1522</v>
      </c>
      <c r="K99" s="2336">
        <v>12</v>
      </c>
      <c r="L99" s="2462">
        <v>0.16</v>
      </c>
      <c r="M99" s="424">
        <v>0</v>
      </c>
      <c r="N99" s="2341">
        <v>0</v>
      </c>
      <c r="O99" s="3050"/>
      <c r="P99" s="2442">
        <v>236863392</v>
      </c>
      <c r="Q99" s="896">
        <v>236863392</v>
      </c>
      <c r="R99" s="896">
        <v>22635000</v>
      </c>
      <c r="S99" s="896">
        <v>0</v>
      </c>
      <c r="T99" s="2341">
        <f t="shared" si="30"/>
        <v>9.5561411195192209E-2</v>
      </c>
      <c r="U99" s="2341">
        <f t="shared" si="30"/>
        <v>0</v>
      </c>
      <c r="V99" s="2438"/>
      <c r="W99" s="2438"/>
      <c r="X99" s="411" t="s">
        <v>5054</v>
      </c>
      <c r="Y99" s="3040"/>
    </row>
    <row r="100" spans="1:25" ht="76.5">
      <c r="A100" s="2348"/>
      <c r="B100" s="2358">
        <v>52030010005</v>
      </c>
      <c r="C100" s="2344" t="s">
        <v>103</v>
      </c>
      <c r="D100" s="2439" t="s">
        <v>1667</v>
      </c>
      <c r="E100" s="2350"/>
      <c r="F100" s="2366"/>
      <c r="G100" s="2366"/>
      <c r="H100" s="2366"/>
      <c r="I100" s="2366"/>
      <c r="J100" s="2368"/>
      <c r="K100" s="2368"/>
      <c r="L100" s="2462"/>
      <c r="M100" s="2396"/>
      <c r="N100" s="2397"/>
      <c r="O100" s="2397"/>
      <c r="P100" s="2437"/>
      <c r="Q100" s="2398"/>
      <c r="R100" s="2398"/>
      <c r="S100" s="2398"/>
      <c r="T100" s="2356"/>
      <c r="U100" s="2356"/>
      <c r="V100" s="2438"/>
      <c r="W100" s="2447"/>
      <c r="X100" s="411"/>
      <c r="Y100" s="2374"/>
    </row>
    <row r="101" spans="1:25">
      <c r="A101" s="3043">
        <v>4145</v>
      </c>
      <c r="B101" s="3044"/>
      <c r="C101" s="3043" t="s">
        <v>109</v>
      </c>
      <c r="D101" s="3039" t="s">
        <v>1668</v>
      </c>
      <c r="E101" s="2365" t="s">
        <v>1669</v>
      </c>
      <c r="F101" s="2348"/>
      <c r="G101" s="2360"/>
      <c r="H101" s="2431"/>
      <c r="I101" s="2360"/>
      <c r="J101" s="2345"/>
      <c r="K101" s="2369">
        <f>K102+K104+K103</f>
        <v>1071</v>
      </c>
      <c r="L101" s="2435">
        <f>SUM(L102:L104)</f>
        <v>1</v>
      </c>
      <c r="M101" s="2400"/>
      <c r="N101" s="2401">
        <f>SUM(N102:N104)</f>
        <v>0.44204597019543135</v>
      </c>
      <c r="O101" s="3055">
        <f>IF(Q101&gt;0,N101,"na")</f>
        <v>0.44204597019543135</v>
      </c>
      <c r="P101" s="2459">
        <f t="shared" ref="P101:S101" si="31">SUM(P102:P104)</f>
        <v>2591771082</v>
      </c>
      <c r="Q101" s="896">
        <f t="shared" si="31"/>
        <v>2767999502</v>
      </c>
      <c r="R101" s="896">
        <f t="shared" si="31"/>
        <v>1900930473</v>
      </c>
      <c r="S101" s="896">
        <f t="shared" si="31"/>
        <v>286545000</v>
      </c>
      <c r="T101" s="2364">
        <f t="shared" ref="T101:U104" si="32">IF(Q101=0,0,R101/Q101)</f>
        <v>0.68675246206745888</v>
      </c>
      <c r="U101" s="2364">
        <f t="shared" si="32"/>
        <v>0.15073933742972828</v>
      </c>
      <c r="V101" s="2443" t="s">
        <v>1579</v>
      </c>
      <c r="W101" s="2443" t="s">
        <v>1580</v>
      </c>
      <c r="X101" s="411"/>
      <c r="Y101" s="3039" t="s">
        <v>1518</v>
      </c>
    </row>
    <row r="102" spans="1:25" ht="94.5">
      <c r="A102" s="3042"/>
      <c r="B102" s="3042"/>
      <c r="C102" s="3042"/>
      <c r="D102" s="3042"/>
      <c r="E102" s="2365" t="s">
        <v>1670</v>
      </c>
      <c r="F102" s="2392"/>
      <c r="G102" s="2371" t="s">
        <v>1671</v>
      </c>
      <c r="H102" s="2367"/>
      <c r="I102" s="2371" t="s">
        <v>1672</v>
      </c>
      <c r="J102" s="2366" t="s">
        <v>1535</v>
      </c>
      <c r="K102" s="2336">
        <v>129</v>
      </c>
      <c r="L102" s="2435">
        <v>0.3</v>
      </c>
      <c r="M102" s="2406">
        <v>60</v>
      </c>
      <c r="N102" s="2463">
        <v>0.13953488372093023</v>
      </c>
      <c r="O102" s="3049"/>
      <c r="P102" s="2442">
        <v>671413050</v>
      </c>
      <c r="Q102" s="2340">
        <v>671413050</v>
      </c>
      <c r="R102" s="2340">
        <v>272135960</v>
      </c>
      <c r="S102" s="2340">
        <v>146054620</v>
      </c>
      <c r="T102" s="2341">
        <f t="shared" si="32"/>
        <v>0.40531824634626928</v>
      </c>
      <c r="U102" s="2341">
        <f t="shared" si="32"/>
        <v>0.53669724500944305</v>
      </c>
      <c r="V102" s="2447" t="s">
        <v>1579</v>
      </c>
      <c r="W102" s="2447" t="s">
        <v>1580</v>
      </c>
      <c r="X102" s="2390" t="s">
        <v>5055</v>
      </c>
      <c r="Y102" s="3042"/>
    </row>
    <row r="103" spans="1:25" ht="67.5">
      <c r="A103" s="3042"/>
      <c r="B103" s="3042"/>
      <c r="C103" s="3042"/>
      <c r="D103" s="3042"/>
      <c r="E103" s="2365" t="s">
        <v>1673</v>
      </c>
      <c r="F103" s="2392"/>
      <c r="G103" s="2366"/>
      <c r="H103" s="2367"/>
      <c r="I103" s="2366" t="s">
        <v>1674</v>
      </c>
      <c r="J103" s="2366" t="s">
        <v>1599</v>
      </c>
      <c r="K103" s="2336">
        <v>40</v>
      </c>
      <c r="L103" s="2435">
        <v>0.3</v>
      </c>
      <c r="M103" s="2406">
        <v>21</v>
      </c>
      <c r="N103" s="2372">
        <v>0.1575</v>
      </c>
      <c r="O103" s="3049"/>
      <c r="P103" s="2442">
        <v>409076472</v>
      </c>
      <c r="Q103" s="2340">
        <v>585304892</v>
      </c>
      <c r="R103" s="2340">
        <v>293740897</v>
      </c>
      <c r="S103" s="2340">
        <v>37800188</v>
      </c>
      <c r="T103" s="2341">
        <f t="shared" si="32"/>
        <v>0.50185963079221962</v>
      </c>
      <c r="U103" s="2341">
        <f t="shared" si="32"/>
        <v>0.12868547888992113</v>
      </c>
      <c r="V103" s="2438" t="s">
        <v>1579</v>
      </c>
      <c r="W103" s="2438" t="s">
        <v>1580</v>
      </c>
      <c r="X103" s="2390" t="s">
        <v>5056</v>
      </c>
      <c r="Y103" s="3042"/>
    </row>
    <row r="104" spans="1:25" ht="81">
      <c r="A104" s="3040"/>
      <c r="B104" s="3040"/>
      <c r="C104" s="3040"/>
      <c r="D104" s="3040"/>
      <c r="E104" s="2365" t="s">
        <v>1675</v>
      </c>
      <c r="F104" s="2392"/>
      <c r="G104" s="2366"/>
      <c r="H104" s="2367"/>
      <c r="I104" s="2366" t="s">
        <v>1676</v>
      </c>
      <c r="J104" s="2366" t="s">
        <v>1677</v>
      </c>
      <c r="K104" s="2336">
        <v>902</v>
      </c>
      <c r="L104" s="2435">
        <v>0.4</v>
      </c>
      <c r="M104" s="2406">
        <v>327</v>
      </c>
      <c r="N104" s="2372">
        <v>0.14501108647450112</v>
      </c>
      <c r="O104" s="3049"/>
      <c r="P104" s="2442">
        <v>1511281560</v>
      </c>
      <c r="Q104" s="2340">
        <v>1511281560</v>
      </c>
      <c r="R104" s="2340">
        <v>1335053616</v>
      </c>
      <c r="S104" s="2340">
        <v>102690192</v>
      </c>
      <c r="T104" s="2341">
        <f t="shared" si="32"/>
        <v>0.8833917195416584</v>
      </c>
      <c r="U104" s="2341">
        <f t="shared" si="32"/>
        <v>7.6918402953488577E-2</v>
      </c>
      <c r="V104" s="2438" t="s">
        <v>1579</v>
      </c>
      <c r="W104" s="2438" t="s">
        <v>1580</v>
      </c>
      <c r="X104" s="2390" t="s">
        <v>5057</v>
      </c>
      <c r="Y104" s="3040"/>
    </row>
    <row r="105" spans="1:25" ht="38.25">
      <c r="A105" s="2348"/>
      <c r="B105" s="2358">
        <v>52030010006</v>
      </c>
      <c r="C105" s="2344" t="s">
        <v>103</v>
      </c>
      <c r="D105" s="2327" t="s">
        <v>1678</v>
      </c>
      <c r="E105" s="2350"/>
      <c r="F105" s="2392"/>
      <c r="G105" s="2366"/>
      <c r="H105" s="2366"/>
      <c r="I105" s="2366"/>
      <c r="J105" s="2368"/>
      <c r="K105" s="2368"/>
      <c r="L105" s="2435"/>
      <c r="M105" s="2406"/>
      <c r="N105" s="2372"/>
      <c r="O105" s="2464"/>
      <c r="P105" s="2437"/>
      <c r="Q105" s="896"/>
      <c r="R105" s="896"/>
      <c r="S105" s="896"/>
      <c r="T105" s="2341"/>
      <c r="U105" s="2341"/>
      <c r="V105" s="2438"/>
      <c r="W105" s="2447"/>
      <c r="X105" s="411"/>
      <c r="Y105" s="2348"/>
    </row>
    <row r="106" spans="1:25">
      <c r="A106" s="3043">
        <v>4145</v>
      </c>
      <c r="B106" s="3044"/>
      <c r="C106" s="3043" t="s">
        <v>109</v>
      </c>
      <c r="D106" s="3052" t="s">
        <v>1679</v>
      </c>
      <c r="E106" s="2365" t="s">
        <v>1680</v>
      </c>
      <c r="F106" s="2404"/>
      <c r="G106" s="2360"/>
      <c r="H106" s="2431"/>
      <c r="I106" s="2360"/>
      <c r="J106" s="2345"/>
      <c r="K106" s="2336">
        <f>SUM(K107)</f>
        <v>1000</v>
      </c>
      <c r="L106" s="2435">
        <f>SUM(L107:L108)</f>
        <v>1</v>
      </c>
      <c r="M106" s="2181"/>
      <c r="N106" s="2410">
        <f>SUM(N107:N108)</f>
        <v>0.46450000000000002</v>
      </c>
      <c r="O106" s="3048">
        <f>IF(Q106&gt;0,N106,"na")</f>
        <v>0.46450000000000002</v>
      </c>
      <c r="P106" s="2442">
        <f t="shared" ref="P106:S106" si="33">SUM(P107:P108)</f>
        <v>906200000</v>
      </c>
      <c r="Q106" s="896">
        <f t="shared" si="33"/>
        <v>1657055647</v>
      </c>
      <c r="R106" s="896">
        <f t="shared" si="33"/>
        <v>569365953</v>
      </c>
      <c r="S106" s="896">
        <f t="shared" si="33"/>
        <v>249582500</v>
      </c>
      <c r="T106" s="2341">
        <f t="shared" ref="T106:U108" si="34">IF(Q106=0,0,R106/Q106)</f>
        <v>0.34360098529630129</v>
      </c>
      <c r="U106" s="2341">
        <f t="shared" si="34"/>
        <v>0.43835164130370824</v>
      </c>
      <c r="V106" s="2443" t="s">
        <v>1579</v>
      </c>
      <c r="W106" s="2443" t="s">
        <v>1580</v>
      </c>
      <c r="X106" s="411"/>
      <c r="Y106" s="3039" t="s">
        <v>1518</v>
      </c>
    </row>
    <row r="107" spans="1:25" ht="81">
      <c r="A107" s="3042"/>
      <c r="B107" s="3042"/>
      <c r="C107" s="3042"/>
      <c r="D107" s="3042"/>
      <c r="E107" s="2365" t="s">
        <v>1681</v>
      </c>
      <c r="F107" s="2366"/>
      <c r="G107" s="2366" t="s">
        <v>1682</v>
      </c>
      <c r="H107" s="2431"/>
      <c r="I107" s="2465" t="s">
        <v>1683</v>
      </c>
      <c r="J107" s="2366" t="s">
        <v>1684</v>
      </c>
      <c r="K107" s="2369">
        <v>1000</v>
      </c>
      <c r="L107" s="2435">
        <v>0.5</v>
      </c>
      <c r="M107" s="896">
        <v>514</v>
      </c>
      <c r="N107" s="2341">
        <v>0.25700000000000001</v>
      </c>
      <c r="O107" s="3049"/>
      <c r="P107" s="2442">
        <v>604134007</v>
      </c>
      <c r="Q107" s="896">
        <v>998648007</v>
      </c>
      <c r="R107" s="896">
        <v>305965500</v>
      </c>
      <c r="S107" s="896">
        <v>166412500</v>
      </c>
      <c r="T107" s="2341">
        <f t="shared" si="34"/>
        <v>0.30637972324116397</v>
      </c>
      <c r="U107" s="2341">
        <f t="shared" si="34"/>
        <v>0.54389302061833766</v>
      </c>
      <c r="V107" s="2447" t="s">
        <v>1579</v>
      </c>
      <c r="W107" s="2447" t="s">
        <v>1580</v>
      </c>
      <c r="X107" s="2390" t="s">
        <v>5058</v>
      </c>
      <c r="Y107" s="3042"/>
    </row>
    <row r="108" spans="1:25" ht="27">
      <c r="A108" s="3040"/>
      <c r="B108" s="3040"/>
      <c r="C108" s="3040"/>
      <c r="D108" s="3040"/>
      <c r="E108" s="2365" t="s">
        <v>1685</v>
      </c>
      <c r="F108" s="2366"/>
      <c r="G108" s="2366"/>
      <c r="H108" s="2466"/>
      <c r="I108" s="2366" t="s">
        <v>1686</v>
      </c>
      <c r="J108" s="2366" t="s">
        <v>156</v>
      </c>
      <c r="K108" s="2369">
        <v>1</v>
      </c>
      <c r="L108" s="2435">
        <v>0.5</v>
      </c>
      <c r="M108" s="896">
        <v>0.41499999999999998</v>
      </c>
      <c r="N108" s="2467">
        <v>0.20749999999999999</v>
      </c>
      <c r="O108" s="3050"/>
      <c r="P108" s="2442">
        <v>302065993</v>
      </c>
      <c r="Q108" s="896">
        <v>658407640</v>
      </c>
      <c r="R108" s="896">
        <v>263400453</v>
      </c>
      <c r="S108" s="896">
        <v>83170000</v>
      </c>
      <c r="T108" s="2341">
        <f t="shared" si="34"/>
        <v>0.40005679915864889</v>
      </c>
      <c r="U108" s="2341">
        <f t="shared" si="34"/>
        <v>0.31575496189446567</v>
      </c>
      <c r="V108" s="2438" t="s">
        <v>1579</v>
      </c>
      <c r="W108" s="2438" t="s">
        <v>1580</v>
      </c>
      <c r="X108" s="2390" t="s">
        <v>5059</v>
      </c>
      <c r="Y108" s="3040"/>
    </row>
    <row r="109" spans="1:25" ht="76.5">
      <c r="A109" s="2348"/>
      <c r="B109" s="2358">
        <v>52030010007</v>
      </c>
      <c r="C109" s="2344" t="s">
        <v>103</v>
      </c>
      <c r="D109" s="2439" t="s">
        <v>1687</v>
      </c>
      <c r="E109" s="2350"/>
      <c r="F109" s="2392"/>
      <c r="G109" s="2366"/>
      <c r="H109" s="2366"/>
      <c r="I109" s="2366"/>
      <c r="J109" s="2368"/>
      <c r="K109" s="2345"/>
      <c r="L109" s="2435"/>
      <c r="M109" s="410"/>
      <c r="N109" s="2339"/>
      <c r="O109" s="2341"/>
      <c r="P109" s="2437"/>
      <c r="Q109" s="896"/>
      <c r="R109" s="896"/>
      <c r="S109" s="896"/>
      <c r="T109" s="2341"/>
      <c r="U109" s="2341"/>
      <c r="V109" s="2447"/>
      <c r="W109" s="2447"/>
      <c r="X109" s="411"/>
      <c r="Y109" s="2348"/>
    </row>
    <row r="110" spans="1:25">
      <c r="A110" s="3043">
        <v>4145</v>
      </c>
      <c r="B110" s="3044"/>
      <c r="C110" s="3044" t="s">
        <v>109</v>
      </c>
      <c r="D110" s="3052" t="s">
        <v>1688</v>
      </c>
      <c r="E110" s="2365" t="s">
        <v>1689</v>
      </c>
      <c r="F110" s="2348"/>
      <c r="G110" s="2360"/>
      <c r="H110" s="2431"/>
      <c r="I110" s="2360" t="s">
        <v>1690</v>
      </c>
      <c r="J110" s="2345"/>
      <c r="K110" s="2369">
        <f>SUM(K111)</f>
        <v>114421</v>
      </c>
      <c r="L110" s="2435">
        <f>SUM(L111:L113)</f>
        <v>1</v>
      </c>
      <c r="M110" s="2468"/>
      <c r="N110" s="2339">
        <f>SUM(N111:N113)</f>
        <v>0</v>
      </c>
      <c r="O110" s="3048">
        <f>IF(Q110&gt;0,N110,"na")</f>
        <v>0</v>
      </c>
      <c r="P110" s="2459">
        <f t="shared" ref="P110:S110" si="35">SUM(P111:P113)</f>
        <v>1300000000</v>
      </c>
      <c r="Q110" s="896">
        <f t="shared" si="35"/>
        <v>2100000000</v>
      </c>
      <c r="R110" s="896">
        <f t="shared" si="35"/>
        <v>2091147605</v>
      </c>
      <c r="S110" s="896">
        <f t="shared" si="35"/>
        <v>0</v>
      </c>
      <c r="T110" s="2341">
        <f t="shared" ref="T110:U113" si="36">IF(Q110=0,0,R110/Q110)</f>
        <v>0.99578457380952379</v>
      </c>
      <c r="U110" s="2341">
        <f t="shared" si="36"/>
        <v>0</v>
      </c>
      <c r="V110" s="2443" t="s">
        <v>1579</v>
      </c>
      <c r="W110" s="2443" t="s">
        <v>1580</v>
      </c>
      <c r="X110" s="411"/>
      <c r="Y110" s="3039" t="s">
        <v>1518</v>
      </c>
    </row>
    <row r="111" spans="1:25" ht="81">
      <c r="A111" s="3042"/>
      <c r="B111" s="3042"/>
      <c r="C111" s="3042"/>
      <c r="D111" s="3042"/>
      <c r="E111" s="2365" t="s">
        <v>1691</v>
      </c>
      <c r="F111" s="2348"/>
      <c r="G111" s="2334" t="s">
        <v>1687</v>
      </c>
      <c r="H111" s="2367"/>
      <c r="I111" s="2334" t="s">
        <v>1692</v>
      </c>
      <c r="J111" s="2334" t="s">
        <v>1532</v>
      </c>
      <c r="K111" s="2369">
        <v>114421</v>
      </c>
      <c r="L111" s="2435">
        <v>0.5</v>
      </c>
      <c r="M111" s="2406">
        <v>0</v>
      </c>
      <c r="N111" s="2339">
        <v>0</v>
      </c>
      <c r="O111" s="3049"/>
      <c r="P111" s="2459">
        <v>1034250000</v>
      </c>
      <c r="Q111" s="896">
        <v>1573666500</v>
      </c>
      <c r="R111" s="896">
        <v>1573654605</v>
      </c>
      <c r="S111" s="896">
        <v>0</v>
      </c>
      <c r="T111" s="2341">
        <f t="shared" si="36"/>
        <v>0.99999244121927999</v>
      </c>
      <c r="U111" s="2341">
        <f t="shared" si="36"/>
        <v>0</v>
      </c>
      <c r="V111" s="2438">
        <v>45458</v>
      </c>
      <c r="W111" s="2438">
        <v>45596</v>
      </c>
      <c r="X111" s="2390" t="s">
        <v>5060</v>
      </c>
      <c r="Y111" s="3042"/>
    </row>
    <row r="112" spans="1:25" ht="67.5">
      <c r="A112" s="3042"/>
      <c r="B112" s="3042"/>
      <c r="C112" s="3042"/>
      <c r="D112" s="3042"/>
      <c r="E112" s="2365" t="s">
        <v>1693</v>
      </c>
      <c r="F112" s="2348"/>
      <c r="G112" s="2389"/>
      <c r="H112" s="2346"/>
      <c r="I112" s="2334" t="s">
        <v>1694</v>
      </c>
      <c r="J112" s="2334" t="s">
        <v>1538</v>
      </c>
      <c r="K112" s="2369">
        <v>8</v>
      </c>
      <c r="L112" s="2435">
        <v>0.3</v>
      </c>
      <c r="M112" s="2469">
        <v>0</v>
      </c>
      <c r="N112" s="2183">
        <v>0</v>
      </c>
      <c r="O112" s="3049"/>
      <c r="P112" s="2459">
        <v>185955000</v>
      </c>
      <c r="Q112" s="896">
        <v>423899000</v>
      </c>
      <c r="R112" s="896">
        <v>423899000</v>
      </c>
      <c r="S112" s="896">
        <v>0</v>
      </c>
      <c r="T112" s="2341">
        <f t="shared" si="36"/>
        <v>1</v>
      </c>
      <c r="U112" s="2341">
        <f t="shared" si="36"/>
        <v>0</v>
      </c>
      <c r="V112" s="2447">
        <v>45458</v>
      </c>
      <c r="W112" s="2447">
        <v>45596</v>
      </c>
      <c r="X112" s="2390" t="s">
        <v>5061</v>
      </c>
      <c r="Y112" s="3042"/>
    </row>
    <row r="113" spans="1:25" ht="81">
      <c r="A113" s="3040"/>
      <c r="B113" s="3040"/>
      <c r="C113" s="3040"/>
      <c r="D113" s="3040"/>
      <c r="E113" s="2365" t="s">
        <v>1695</v>
      </c>
      <c r="F113" s="2366"/>
      <c r="G113" s="2389"/>
      <c r="H113" s="2346"/>
      <c r="I113" s="2334" t="s">
        <v>1696</v>
      </c>
      <c r="J113" s="2334" t="s">
        <v>1697</v>
      </c>
      <c r="K113" s="2336">
        <v>1</v>
      </c>
      <c r="L113" s="2435">
        <v>0.2</v>
      </c>
      <c r="M113" s="2406">
        <v>0</v>
      </c>
      <c r="N113" s="2403">
        <v>0</v>
      </c>
      <c r="O113" s="3050"/>
      <c r="P113" s="2442">
        <v>79795000</v>
      </c>
      <c r="Q113" s="896">
        <v>102434500</v>
      </c>
      <c r="R113" s="896">
        <v>93594000</v>
      </c>
      <c r="S113" s="896">
        <v>0</v>
      </c>
      <c r="T113" s="2341">
        <f t="shared" si="36"/>
        <v>0.91369606919543711</v>
      </c>
      <c r="U113" s="2341">
        <f t="shared" si="36"/>
        <v>0</v>
      </c>
      <c r="V113" s="2438">
        <v>45458</v>
      </c>
      <c r="W113" s="2438">
        <v>45596</v>
      </c>
      <c r="X113" s="2390" t="s">
        <v>5061</v>
      </c>
      <c r="Y113" s="3040"/>
    </row>
    <row r="114" spans="1:25" ht="38.25">
      <c r="A114" s="2348"/>
      <c r="B114" s="2358">
        <v>52030010008</v>
      </c>
      <c r="C114" s="2358" t="s">
        <v>103</v>
      </c>
      <c r="D114" s="2327" t="s">
        <v>1698</v>
      </c>
      <c r="E114" s="2360"/>
      <c r="F114" s="2392"/>
      <c r="G114" s="2334"/>
      <c r="H114" s="2310"/>
      <c r="I114" s="2334"/>
      <c r="J114" s="2334"/>
      <c r="K114" s="2434"/>
      <c r="L114" s="2370"/>
      <c r="M114" s="410"/>
      <c r="N114" s="2339"/>
      <c r="O114" s="2341"/>
      <c r="P114" s="2362"/>
      <c r="Q114" s="896"/>
      <c r="R114" s="896"/>
      <c r="S114" s="896"/>
      <c r="T114" s="2341"/>
      <c r="U114" s="2341"/>
      <c r="V114" s="2373"/>
      <c r="W114" s="2373"/>
      <c r="X114" s="411"/>
      <c r="Y114" s="2310"/>
    </row>
    <row r="115" spans="1:25">
      <c r="A115" s="3043">
        <v>4145</v>
      </c>
      <c r="B115" s="3056"/>
      <c r="C115" s="3043" t="s">
        <v>109</v>
      </c>
      <c r="D115" s="3039" t="s">
        <v>1699</v>
      </c>
      <c r="E115" s="2365" t="s">
        <v>1700</v>
      </c>
      <c r="F115" s="2404"/>
      <c r="G115" s="2360"/>
      <c r="H115" s="2431"/>
      <c r="I115" s="2360"/>
      <c r="J115" s="2360"/>
      <c r="K115" s="2369">
        <f>SUM(K116)</f>
        <v>175</v>
      </c>
      <c r="L115" s="2370">
        <f>SUM(L116:L118)</f>
        <v>1</v>
      </c>
      <c r="M115" s="410"/>
      <c r="N115" s="2339">
        <f>SUM(N116:N118)</f>
        <v>0.45393581081081086</v>
      </c>
      <c r="O115" s="3048">
        <f>IF(Q115&gt;0,N115,"na")</f>
        <v>0.45393581081081086</v>
      </c>
      <c r="P115" s="2336">
        <f t="shared" ref="P115:S115" si="37">SUM(P116:P118)</f>
        <v>1931265309</v>
      </c>
      <c r="Q115" s="896">
        <f t="shared" si="37"/>
        <v>2431265309</v>
      </c>
      <c r="R115" s="896">
        <f t="shared" si="37"/>
        <v>777511200</v>
      </c>
      <c r="S115" s="896">
        <f t="shared" si="37"/>
        <v>436728000</v>
      </c>
      <c r="T115" s="2341">
        <f t="shared" ref="T115:U118" si="38">IF(Q115=0,0,R115/Q115)</f>
        <v>0.31979693747195237</v>
      </c>
      <c r="U115" s="2341">
        <f t="shared" si="38"/>
        <v>0.56169994721619443</v>
      </c>
      <c r="V115" s="2470" t="s">
        <v>1579</v>
      </c>
      <c r="W115" s="2470" t="s">
        <v>1580</v>
      </c>
      <c r="X115" s="411"/>
      <c r="Y115" s="3039" t="s">
        <v>1518</v>
      </c>
    </row>
    <row r="116" spans="1:25" ht="54">
      <c r="A116" s="3042"/>
      <c r="B116" s="3042"/>
      <c r="C116" s="3042"/>
      <c r="D116" s="3042"/>
      <c r="E116" s="2365" t="s">
        <v>1701</v>
      </c>
      <c r="F116" s="2471"/>
      <c r="G116" s="2407" t="s">
        <v>1702</v>
      </c>
      <c r="H116" s="2431"/>
      <c r="I116" s="2407" t="s">
        <v>1703</v>
      </c>
      <c r="J116" s="2407" t="s">
        <v>1704</v>
      </c>
      <c r="K116" s="2369">
        <v>175</v>
      </c>
      <c r="L116" s="2370">
        <v>0.4</v>
      </c>
      <c r="M116" s="2181">
        <v>70</v>
      </c>
      <c r="N116" s="2410">
        <v>0.16</v>
      </c>
      <c r="O116" s="3049"/>
      <c r="P116" s="2336">
        <v>427052045</v>
      </c>
      <c r="Q116" s="896">
        <v>427052045</v>
      </c>
      <c r="R116" s="896">
        <v>191963457</v>
      </c>
      <c r="S116" s="896">
        <v>95733146</v>
      </c>
      <c r="T116" s="2341">
        <f t="shared" si="38"/>
        <v>0.44950834271265461</v>
      </c>
      <c r="U116" s="2341">
        <f t="shared" si="38"/>
        <v>0.49870505301433493</v>
      </c>
      <c r="V116" s="2472">
        <v>45306</v>
      </c>
      <c r="W116" s="2472">
        <v>45657</v>
      </c>
      <c r="X116" s="411" t="s">
        <v>5062</v>
      </c>
      <c r="Y116" s="3042"/>
    </row>
    <row r="117" spans="1:25" ht="81">
      <c r="A117" s="3042"/>
      <c r="B117" s="3042"/>
      <c r="C117" s="3042"/>
      <c r="D117" s="3042"/>
      <c r="E117" s="2365" t="s">
        <v>1705</v>
      </c>
      <c r="F117" s="2471"/>
      <c r="G117" s="2473"/>
      <c r="H117" s="2471"/>
      <c r="I117" s="2407" t="s">
        <v>1706</v>
      </c>
      <c r="J117" s="2407" t="s">
        <v>1707</v>
      </c>
      <c r="K117" s="2369">
        <v>192</v>
      </c>
      <c r="L117" s="2370">
        <v>0.3</v>
      </c>
      <c r="M117" s="2406">
        <v>92</v>
      </c>
      <c r="N117" s="2403">
        <v>0.203125</v>
      </c>
      <c r="O117" s="3049"/>
      <c r="P117" s="2336">
        <v>1127873819</v>
      </c>
      <c r="Q117" s="896">
        <v>1627873819</v>
      </c>
      <c r="R117" s="896">
        <v>453853300</v>
      </c>
      <c r="S117" s="896">
        <v>261235370</v>
      </c>
      <c r="T117" s="2341">
        <f t="shared" si="38"/>
        <v>0.27880127728745052</v>
      </c>
      <c r="U117" s="2341">
        <f t="shared" si="38"/>
        <v>0.57559429445593979</v>
      </c>
      <c r="V117" s="2472">
        <v>45306</v>
      </c>
      <c r="W117" s="2472">
        <v>45657</v>
      </c>
      <c r="X117" s="411" t="s">
        <v>5063</v>
      </c>
      <c r="Y117" s="3042"/>
    </row>
    <row r="118" spans="1:25" ht="67.5">
      <c r="A118" s="3040"/>
      <c r="B118" s="3040"/>
      <c r="C118" s="3040"/>
      <c r="D118" s="3040"/>
      <c r="E118" s="2365" t="s">
        <v>1708</v>
      </c>
      <c r="F118" s="2471"/>
      <c r="G118" s="2473"/>
      <c r="H118" s="2471"/>
      <c r="I118" s="2407" t="s">
        <v>1709</v>
      </c>
      <c r="J118" s="2407" t="s">
        <v>1710</v>
      </c>
      <c r="K118" s="2369">
        <v>185</v>
      </c>
      <c r="L118" s="2370">
        <v>0.3</v>
      </c>
      <c r="M118" s="2338">
        <v>56</v>
      </c>
      <c r="N118" s="2339">
        <v>9.0810810810810813E-2</v>
      </c>
      <c r="O118" s="3050"/>
      <c r="P118" s="2336">
        <v>376339445</v>
      </c>
      <c r="Q118" s="896">
        <v>376339445</v>
      </c>
      <c r="R118" s="896">
        <v>131694443</v>
      </c>
      <c r="S118" s="896">
        <v>79759484</v>
      </c>
      <c r="T118" s="2341">
        <f t="shared" si="38"/>
        <v>0.34993526389454072</v>
      </c>
      <c r="U118" s="2341">
        <f t="shared" si="38"/>
        <v>0.60564046730506316</v>
      </c>
      <c r="V118" s="2472">
        <v>45306</v>
      </c>
      <c r="W118" s="2472">
        <v>45657</v>
      </c>
      <c r="X118" s="2390" t="s">
        <v>5064</v>
      </c>
      <c r="Y118" s="3040"/>
    </row>
    <row r="119" spans="1:25" ht="38.25">
      <c r="A119" s="2474"/>
      <c r="B119" s="2358">
        <v>52030010009</v>
      </c>
      <c r="C119" s="2344" t="s">
        <v>103</v>
      </c>
      <c r="D119" s="2327" t="s">
        <v>1711</v>
      </c>
      <c r="E119" s="2350"/>
      <c r="F119" s="2475"/>
      <c r="G119" s="2334"/>
      <c r="H119" s="2367"/>
      <c r="I119" s="2334"/>
      <c r="J119" s="2334"/>
      <c r="K119" s="2348"/>
      <c r="L119" s="2370"/>
      <c r="M119" s="2338"/>
      <c r="N119" s="2339"/>
      <c r="O119" s="2341"/>
      <c r="P119" s="2362"/>
      <c r="Q119" s="896"/>
      <c r="R119" s="896"/>
      <c r="S119" s="896"/>
      <c r="T119" s="2341"/>
      <c r="U119" s="2341"/>
      <c r="V119" s="2373"/>
      <c r="W119" s="2373"/>
      <c r="X119" s="411"/>
      <c r="Y119" s="2474"/>
    </row>
    <row r="120" spans="1:25">
      <c r="A120" s="3043">
        <v>4145</v>
      </c>
      <c r="B120" s="3056"/>
      <c r="C120" s="3043" t="s">
        <v>109</v>
      </c>
      <c r="D120" s="3039" t="s">
        <v>1712</v>
      </c>
      <c r="E120" s="2365" t="s">
        <v>1713</v>
      </c>
      <c r="F120" s="2434"/>
      <c r="G120" s="2368"/>
      <c r="H120" s="2476"/>
      <c r="I120" s="2368"/>
      <c r="J120" s="2366"/>
      <c r="K120" s="2369">
        <f>SUM(K121)</f>
        <v>1</v>
      </c>
      <c r="L120" s="2421">
        <f>SUM(L121:L123)</f>
        <v>1</v>
      </c>
      <c r="M120" s="2338"/>
      <c r="N120" s="2339">
        <f>SUM(N121:N123)</f>
        <v>0.3573529411764706</v>
      </c>
      <c r="O120" s="3055">
        <f>IF(Q120&gt;0,N120,"na")</f>
        <v>0.3573529411764706</v>
      </c>
      <c r="P120" s="2369">
        <f t="shared" ref="P120:S120" si="39">SUM(P121:P123)</f>
        <v>210000000</v>
      </c>
      <c r="Q120" s="896">
        <f t="shared" si="39"/>
        <v>210000000</v>
      </c>
      <c r="R120" s="896">
        <f t="shared" si="39"/>
        <v>133525100</v>
      </c>
      <c r="S120" s="896">
        <f t="shared" si="39"/>
        <v>85322000</v>
      </c>
      <c r="T120" s="2341">
        <f t="shared" ref="T120:U123" si="40">IF(Q120=0,0,R120/Q120)</f>
        <v>0.63583380952380952</v>
      </c>
      <c r="U120" s="2341">
        <f t="shared" si="40"/>
        <v>0.63899596405469838</v>
      </c>
      <c r="V120" s="2470" t="s">
        <v>1579</v>
      </c>
      <c r="W120" s="2470" t="s">
        <v>1580</v>
      </c>
      <c r="X120" s="411"/>
      <c r="Y120" s="3039" t="s">
        <v>1518</v>
      </c>
    </row>
    <row r="121" spans="1:25" ht="40.5">
      <c r="A121" s="3042"/>
      <c r="B121" s="3042"/>
      <c r="C121" s="3042"/>
      <c r="D121" s="3042"/>
      <c r="E121" s="2365" t="s">
        <v>1714</v>
      </c>
      <c r="F121" s="2434"/>
      <c r="G121" s="2366" t="s">
        <v>1711</v>
      </c>
      <c r="H121" s="2476"/>
      <c r="I121" s="2334" t="s">
        <v>1715</v>
      </c>
      <c r="J121" s="2366" t="s">
        <v>1544</v>
      </c>
      <c r="K121" s="2369">
        <v>1</v>
      </c>
      <c r="L121" s="2421">
        <v>0.5</v>
      </c>
      <c r="M121" s="2181">
        <v>0.45</v>
      </c>
      <c r="N121" s="2410">
        <v>0.22500000000000001</v>
      </c>
      <c r="O121" s="3049"/>
      <c r="P121" s="2369">
        <v>125909700</v>
      </c>
      <c r="Q121" s="2409">
        <v>125909700</v>
      </c>
      <c r="R121" s="2409">
        <v>94021000</v>
      </c>
      <c r="S121" s="2409">
        <v>59327000</v>
      </c>
      <c r="T121" s="2341">
        <f t="shared" si="40"/>
        <v>0.74673357175817268</v>
      </c>
      <c r="U121" s="2341">
        <f t="shared" si="40"/>
        <v>0.6309973303836377</v>
      </c>
      <c r="V121" s="2373" t="s">
        <v>1579</v>
      </c>
      <c r="W121" s="2373" t="s">
        <v>1580</v>
      </c>
      <c r="X121" s="2390" t="s">
        <v>5065</v>
      </c>
      <c r="Y121" s="3042"/>
    </row>
    <row r="122" spans="1:25" ht="67.5">
      <c r="A122" s="3042"/>
      <c r="B122" s="3042"/>
      <c r="C122" s="3042"/>
      <c r="D122" s="3042"/>
      <c r="E122" s="2365" t="s">
        <v>1716</v>
      </c>
      <c r="F122" s="2434"/>
      <c r="G122" s="2368"/>
      <c r="H122" s="2367"/>
      <c r="I122" s="2334" t="s">
        <v>1717</v>
      </c>
      <c r="J122" s="2366" t="s">
        <v>1522</v>
      </c>
      <c r="K122" s="2369">
        <v>17</v>
      </c>
      <c r="L122" s="2421">
        <v>0.25</v>
      </c>
      <c r="M122" s="2429">
        <v>9</v>
      </c>
      <c r="N122" s="2403">
        <v>0.13235294117647059</v>
      </c>
      <c r="O122" s="3049"/>
      <c r="P122" s="2369">
        <v>79587900</v>
      </c>
      <c r="Q122" s="2409">
        <v>79587900</v>
      </c>
      <c r="R122" s="2409">
        <v>39504100</v>
      </c>
      <c r="S122" s="2409">
        <v>25995000</v>
      </c>
      <c r="T122" s="2341">
        <f t="shared" si="40"/>
        <v>0.49635811473854696</v>
      </c>
      <c r="U122" s="2341">
        <f t="shared" si="40"/>
        <v>0.65803296366706243</v>
      </c>
      <c r="V122" s="2373" t="s">
        <v>1579</v>
      </c>
      <c r="W122" s="2373" t="s">
        <v>1580</v>
      </c>
      <c r="X122" s="2390" t="s">
        <v>5066</v>
      </c>
      <c r="Y122" s="3042"/>
    </row>
    <row r="123" spans="1:25" ht="27">
      <c r="A123" s="3040"/>
      <c r="B123" s="3040"/>
      <c r="C123" s="3040"/>
      <c r="D123" s="3040"/>
      <c r="E123" s="2365" t="s">
        <v>1718</v>
      </c>
      <c r="F123" s="2434"/>
      <c r="G123" s="2368"/>
      <c r="H123" s="2367"/>
      <c r="I123" s="2334" t="s">
        <v>1719</v>
      </c>
      <c r="J123" s="2366" t="s">
        <v>206</v>
      </c>
      <c r="K123" s="2369">
        <v>1</v>
      </c>
      <c r="L123" s="2421">
        <v>0.25</v>
      </c>
      <c r="M123" s="2429">
        <v>0</v>
      </c>
      <c r="N123" s="2339">
        <v>0</v>
      </c>
      <c r="O123" s="3050"/>
      <c r="P123" s="2369">
        <v>4502400</v>
      </c>
      <c r="Q123" s="2409">
        <v>4502400</v>
      </c>
      <c r="R123" s="2409">
        <v>0</v>
      </c>
      <c r="S123" s="2409">
        <v>0</v>
      </c>
      <c r="T123" s="2341">
        <f t="shared" si="40"/>
        <v>0</v>
      </c>
      <c r="U123" s="2341">
        <f t="shared" si="40"/>
        <v>0</v>
      </c>
      <c r="V123" s="2373"/>
      <c r="W123" s="2373"/>
      <c r="X123" s="2390"/>
      <c r="Y123" s="3040"/>
    </row>
    <row r="124" spans="1:25" ht="38.25">
      <c r="A124" s="2348"/>
      <c r="B124" s="2358">
        <v>52030010010</v>
      </c>
      <c r="C124" s="2344" t="s">
        <v>103</v>
      </c>
      <c r="D124" s="2439" t="s">
        <v>1720</v>
      </c>
      <c r="E124" s="2350"/>
      <c r="F124" s="2477"/>
      <c r="G124" s="2368"/>
      <c r="H124" s="2434"/>
      <c r="I124" s="2368"/>
      <c r="J124" s="2366"/>
      <c r="K124" s="2348"/>
      <c r="L124" s="2462"/>
      <c r="M124" s="2429"/>
      <c r="N124" s="2339"/>
      <c r="O124" s="2478"/>
      <c r="P124" s="2437"/>
      <c r="Q124" s="896"/>
      <c r="R124" s="2406"/>
      <c r="S124" s="2406"/>
      <c r="T124" s="2341"/>
      <c r="U124" s="2341"/>
      <c r="V124" s="2394"/>
      <c r="W124" s="2394"/>
      <c r="X124" s="411"/>
      <c r="Y124" s="2310"/>
    </row>
    <row r="125" spans="1:25">
      <c r="A125" s="3043">
        <v>4145</v>
      </c>
      <c r="B125" s="3056"/>
      <c r="C125" s="3043" t="s">
        <v>109</v>
      </c>
      <c r="D125" s="3052" t="s">
        <v>1721</v>
      </c>
      <c r="E125" s="2365" t="s">
        <v>1722</v>
      </c>
      <c r="F125" s="2434"/>
      <c r="G125" s="2345"/>
      <c r="H125" s="2431"/>
      <c r="I125" s="2389"/>
      <c r="J125" s="2334"/>
      <c r="K125" s="2369">
        <f>+K127</f>
        <v>700</v>
      </c>
      <c r="L125" s="2435">
        <f>SUM(L126:L128)</f>
        <v>1</v>
      </c>
      <c r="M125" s="2429"/>
      <c r="N125" s="2339">
        <f>SUM(N126:N128)</f>
        <v>0.21000000000000002</v>
      </c>
      <c r="O125" s="3048">
        <f>IF(Q125&gt;0,N125,"na")</f>
        <v>0.21000000000000002</v>
      </c>
      <c r="P125" s="2442">
        <f t="shared" ref="P125:S125" si="41">SUM(P126:P128)</f>
        <v>723706080</v>
      </c>
      <c r="Q125" s="896">
        <f t="shared" si="41"/>
        <v>723706080</v>
      </c>
      <c r="R125" s="2406">
        <f t="shared" si="41"/>
        <v>120779000</v>
      </c>
      <c r="S125" s="2406">
        <f t="shared" si="41"/>
        <v>62132000</v>
      </c>
      <c r="T125" s="2341">
        <f t="shared" ref="T125:U128" si="42">IF(Q125=0,0,R125/Q125)</f>
        <v>0.16688957483955366</v>
      </c>
      <c r="U125" s="2341">
        <f t="shared" si="42"/>
        <v>0.51442717690989326</v>
      </c>
      <c r="V125" s="2470" t="s">
        <v>1579</v>
      </c>
      <c r="W125" s="2470" t="s">
        <v>1580</v>
      </c>
      <c r="X125" s="411"/>
      <c r="Y125" s="3039" t="s">
        <v>1723</v>
      </c>
    </row>
    <row r="126" spans="1:25" ht="162">
      <c r="A126" s="3042"/>
      <c r="B126" s="3042"/>
      <c r="C126" s="3042"/>
      <c r="D126" s="3042"/>
      <c r="E126" s="2365" t="s">
        <v>1724</v>
      </c>
      <c r="F126" s="2434"/>
      <c r="G126" s="2389"/>
      <c r="H126" s="2348"/>
      <c r="I126" s="2407" t="s">
        <v>1725</v>
      </c>
      <c r="J126" s="2407" t="s">
        <v>1726</v>
      </c>
      <c r="K126" s="2369">
        <v>5</v>
      </c>
      <c r="L126" s="2435">
        <v>0.17</v>
      </c>
      <c r="M126" s="2406">
        <v>2</v>
      </c>
      <c r="N126" s="2339">
        <v>7.0000000000000007E-2</v>
      </c>
      <c r="O126" s="3049"/>
      <c r="P126" s="2442">
        <v>121564800</v>
      </c>
      <c r="Q126" s="896">
        <v>121564800</v>
      </c>
      <c r="R126" s="896">
        <v>38832500</v>
      </c>
      <c r="S126" s="896">
        <v>27737500</v>
      </c>
      <c r="T126" s="2341">
        <f t="shared" si="42"/>
        <v>0.31943868619863647</v>
      </c>
      <c r="U126" s="2341">
        <f t="shared" si="42"/>
        <v>0.7142857142857143</v>
      </c>
      <c r="V126" s="2479">
        <v>45323</v>
      </c>
      <c r="W126" s="2480" t="s">
        <v>1580</v>
      </c>
      <c r="X126" s="411" t="s">
        <v>5067</v>
      </c>
      <c r="Y126" s="3042"/>
    </row>
    <row r="127" spans="1:25" ht="81">
      <c r="A127" s="3042"/>
      <c r="B127" s="3042"/>
      <c r="C127" s="3042"/>
      <c r="D127" s="3042"/>
      <c r="E127" s="2365" t="s">
        <v>1727</v>
      </c>
      <c r="F127" s="2434"/>
      <c r="G127" s="2334" t="s">
        <v>1728</v>
      </c>
      <c r="H127" s="2367"/>
      <c r="I127" s="2407" t="s">
        <v>1729</v>
      </c>
      <c r="J127" s="2407" t="s">
        <v>106</v>
      </c>
      <c r="K127" s="2369">
        <v>700</v>
      </c>
      <c r="L127" s="2435">
        <v>0.62</v>
      </c>
      <c r="M127" s="2406">
        <v>106</v>
      </c>
      <c r="N127" s="2403">
        <v>0.1</v>
      </c>
      <c r="O127" s="3049"/>
      <c r="P127" s="2442">
        <v>453743078</v>
      </c>
      <c r="Q127" s="896">
        <v>453743078</v>
      </c>
      <c r="R127" s="896">
        <v>48819400</v>
      </c>
      <c r="S127" s="896">
        <v>17973900</v>
      </c>
      <c r="T127" s="2341">
        <f t="shared" si="42"/>
        <v>0.10759260552289902</v>
      </c>
      <c r="U127" s="2341">
        <f t="shared" si="42"/>
        <v>0.36817125978606863</v>
      </c>
      <c r="V127" s="2479">
        <v>45323</v>
      </c>
      <c r="W127" s="2480" t="s">
        <v>1580</v>
      </c>
      <c r="X127" s="411" t="s">
        <v>5068</v>
      </c>
      <c r="Y127" s="3042"/>
    </row>
    <row r="128" spans="1:25" ht="94.5">
      <c r="A128" s="3040"/>
      <c r="B128" s="3040"/>
      <c r="C128" s="3040"/>
      <c r="D128" s="3040"/>
      <c r="E128" s="2365" t="s">
        <v>1730</v>
      </c>
      <c r="F128" s="2434"/>
      <c r="G128" s="2389"/>
      <c r="H128" s="2367"/>
      <c r="I128" s="2407" t="s">
        <v>1731</v>
      </c>
      <c r="J128" s="2407" t="s">
        <v>1489</v>
      </c>
      <c r="K128" s="2369">
        <v>5</v>
      </c>
      <c r="L128" s="2435">
        <v>0.21</v>
      </c>
      <c r="M128" s="1049">
        <v>1</v>
      </c>
      <c r="N128" s="2339">
        <v>0.04</v>
      </c>
      <c r="O128" s="3050"/>
      <c r="P128" s="2442">
        <v>148398202</v>
      </c>
      <c r="Q128" s="896">
        <v>148398202</v>
      </c>
      <c r="R128" s="896">
        <v>33127100</v>
      </c>
      <c r="S128" s="896">
        <v>16420600</v>
      </c>
      <c r="T128" s="2341">
        <f t="shared" si="42"/>
        <v>0.22323114130452876</v>
      </c>
      <c r="U128" s="2341">
        <f t="shared" si="42"/>
        <v>0.49568480186916453</v>
      </c>
      <c r="V128" s="2479">
        <v>45323</v>
      </c>
      <c r="W128" s="2480" t="s">
        <v>1580</v>
      </c>
      <c r="X128" s="411" t="s">
        <v>5069</v>
      </c>
      <c r="Y128" s="3040"/>
    </row>
    <row r="129" spans="1:25" ht="38.25">
      <c r="A129" s="2474"/>
      <c r="B129" s="2344">
        <v>52030010012</v>
      </c>
      <c r="C129" s="2344" t="s">
        <v>103</v>
      </c>
      <c r="D129" s="2481" t="s">
        <v>1732</v>
      </c>
      <c r="E129" s="2482"/>
      <c r="F129" s="2477"/>
      <c r="G129" s="2483"/>
      <c r="H129" s="2475"/>
      <c r="I129" s="2483"/>
      <c r="J129" s="2484"/>
      <c r="K129" s="2475"/>
      <c r="L129" s="2483"/>
      <c r="M129" s="2485"/>
      <c r="N129" s="2339"/>
      <c r="O129" s="2341"/>
      <c r="P129" s="2483"/>
      <c r="Q129" s="2406"/>
      <c r="R129" s="2406"/>
      <c r="S129" s="2406"/>
      <c r="T129" s="2341"/>
      <c r="U129" s="2341"/>
      <c r="V129" s="2483"/>
      <c r="W129" s="2483"/>
      <c r="X129" s="411"/>
      <c r="Y129" s="2486"/>
    </row>
    <row r="130" spans="1:25">
      <c r="A130" s="3056">
        <v>4145</v>
      </c>
      <c r="B130" s="3056"/>
      <c r="C130" s="3043" t="s">
        <v>109</v>
      </c>
      <c r="D130" s="3052" t="s">
        <v>1733</v>
      </c>
      <c r="E130" s="2365" t="s">
        <v>1734</v>
      </c>
      <c r="F130" s="2471"/>
      <c r="G130" s="2473"/>
      <c r="H130" s="2404"/>
      <c r="I130" s="2473"/>
      <c r="J130" s="2482"/>
      <c r="K130" s="2369">
        <f>SUM(K131)</f>
        <v>1</v>
      </c>
      <c r="L130" s="2449">
        <f>+SUM(L131:L133)</f>
        <v>1</v>
      </c>
      <c r="M130" s="424"/>
      <c r="N130" s="2341">
        <f>+SUM(N131:N133)</f>
        <v>0.27</v>
      </c>
      <c r="O130" s="3055">
        <f>IF(Q130&gt;0,N130,"na")</f>
        <v>0.27</v>
      </c>
      <c r="P130" s="2442">
        <f t="shared" ref="P130:S130" si="43">+SUM(P131:P133)</f>
        <v>390000000</v>
      </c>
      <c r="Q130" s="896">
        <f t="shared" si="43"/>
        <v>1840000000</v>
      </c>
      <c r="R130" s="896">
        <f t="shared" si="43"/>
        <v>150245000</v>
      </c>
      <c r="S130" s="896">
        <f t="shared" si="43"/>
        <v>74988000</v>
      </c>
      <c r="T130" s="2341">
        <f t="shared" ref="T130:U133" si="44">IF(Q130=0,0,R130/Q130)</f>
        <v>8.1654891304347832E-2</v>
      </c>
      <c r="U130" s="2341">
        <f t="shared" si="44"/>
        <v>0.49910479550068221</v>
      </c>
      <c r="V130" s="2470" t="s">
        <v>1579</v>
      </c>
      <c r="W130" s="2470" t="s">
        <v>1580</v>
      </c>
      <c r="X130" s="411"/>
      <c r="Y130" s="3039" t="s">
        <v>1735</v>
      </c>
    </row>
    <row r="131" spans="1:25" ht="148.5">
      <c r="A131" s="3042"/>
      <c r="B131" s="3042"/>
      <c r="C131" s="3042"/>
      <c r="D131" s="3042"/>
      <c r="E131" s="2365" t="s">
        <v>1736</v>
      </c>
      <c r="F131" s="2471"/>
      <c r="G131" s="2334" t="s">
        <v>1737</v>
      </c>
      <c r="H131" s="2404"/>
      <c r="I131" s="2407" t="s">
        <v>1738</v>
      </c>
      <c r="J131" s="2407" t="s">
        <v>1739</v>
      </c>
      <c r="K131" s="2369">
        <v>1</v>
      </c>
      <c r="L131" s="2449">
        <v>0.34</v>
      </c>
      <c r="M131" s="2406">
        <v>0</v>
      </c>
      <c r="N131" s="2403">
        <v>0.15</v>
      </c>
      <c r="O131" s="3049"/>
      <c r="P131" s="2442">
        <v>172890816</v>
      </c>
      <c r="Q131" s="2340">
        <v>1622890816</v>
      </c>
      <c r="R131" s="2340">
        <v>115212400</v>
      </c>
      <c r="S131" s="2340">
        <v>56110400</v>
      </c>
      <c r="T131" s="2341">
        <f t="shared" si="44"/>
        <v>7.0992083302294076E-2</v>
      </c>
      <c r="U131" s="2341">
        <f t="shared" si="44"/>
        <v>0.48701702247327544</v>
      </c>
      <c r="V131" s="2470">
        <v>45318</v>
      </c>
      <c r="W131" s="2470" t="s">
        <v>1580</v>
      </c>
      <c r="X131" s="2390" t="s">
        <v>5070</v>
      </c>
      <c r="Y131" s="3042"/>
    </row>
    <row r="132" spans="1:25" ht="148.5">
      <c r="A132" s="3042"/>
      <c r="B132" s="3042"/>
      <c r="C132" s="3042"/>
      <c r="D132" s="3042"/>
      <c r="E132" s="2365" t="s">
        <v>1740</v>
      </c>
      <c r="F132" s="2471"/>
      <c r="G132" s="2310"/>
      <c r="H132" s="2487"/>
      <c r="I132" s="2407" t="s">
        <v>1741</v>
      </c>
      <c r="J132" s="2407" t="s">
        <v>1742</v>
      </c>
      <c r="K132" s="2369">
        <v>1</v>
      </c>
      <c r="L132" s="2449">
        <v>0.33</v>
      </c>
      <c r="M132" s="2406">
        <v>0</v>
      </c>
      <c r="N132" s="2339">
        <v>0.12</v>
      </c>
      <c r="O132" s="3049"/>
      <c r="P132" s="2442">
        <v>142146988</v>
      </c>
      <c r="Q132" s="2340">
        <v>142146988</v>
      </c>
      <c r="R132" s="2340">
        <v>35032600</v>
      </c>
      <c r="S132" s="2340">
        <v>18877600</v>
      </c>
      <c r="T132" s="2341">
        <f t="shared" si="44"/>
        <v>0.24645334025649562</v>
      </c>
      <c r="U132" s="2341">
        <f t="shared" si="44"/>
        <v>0.53885809217700087</v>
      </c>
      <c r="V132" s="2470">
        <v>45318</v>
      </c>
      <c r="W132" s="2470" t="s">
        <v>1580</v>
      </c>
      <c r="X132" s="2390" t="s">
        <v>5071</v>
      </c>
      <c r="Y132" s="3042"/>
    </row>
    <row r="133" spans="1:25" ht="40.5">
      <c r="A133" s="3040"/>
      <c r="B133" s="3040"/>
      <c r="C133" s="3040"/>
      <c r="D133" s="3040"/>
      <c r="E133" s="2365" t="s">
        <v>1743</v>
      </c>
      <c r="F133" s="2471"/>
      <c r="G133" s="2310"/>
      <c r="H133" s="2487"/>
      <c r="I133" s="2407" t="s">
        <v>1744</v>
      </c>
      <c r="J133" s="2407" t="s">
        <v>1745</v>
      </c>
      <c r="K133" s="2369">
        <v>1</v>
      </c>
      <c r="L133" s="2449">
        <v>0.33</v>
      </c>
      <c r="M133" s="2406">
        <v>0</v>
      </c>
      <c r="N133" s="2339">
        <v>0</v>
      </c>
      <c r="O133" s="3050"/>
      <c r="P133" s="2442">
        <v>74962196</v>
      </c>
      <c r="Q133" s="2340">
        <v>74962196</v>
      </c>
      <c r="R133" s="2340">
        <v>0</v>
      </c>
      <c r="S133" s="2340">
        <v>0</v>
      </c>
      <c r="T133" s="2341">
        <f t="shared" si="44"/>
        <v>0</v>
      </c>
      <c r="U133" s="2341">
        <f t="shared" si="44"/>
        <v>0</v>
      </c>
      <c r="V133" s="2473"/>
      <c r="W133" s="2473"/>
      <c r="X133" s="2390" t="s">
        <v>5072</v>
      </c>
      <c r="Y133" s="3040"/>
    </row>
    <row r="134" spans="1:25" ht="38.25">
      <c r="A134" s="2348"/>
      <c r="B134" s="2344">
        <v>52030010013</v>
      </c>
      <c r="C134" s="2344" t="s">
        <v>103</v>
      </c>
      <c r="D134" s="2327" t="s">
        <v>1746</v>
      </c>
      <c r="E134" s="2350"/>
      <c r="F134" s="2475"/>
      <c r="G134" s="2389"/>
      <c r="H134" s="2310"/>
      <c r="I134" s="2334"/>
      <c r="J134" s="2334"/>
      <c r="K134" s="2348"/>
      <c r="L134" s="2370"/>
      <c r="M134" s="2406"/>
      <c r="N134" s="2339"/>
      <c r="O134" s="2478"/>
      <c r="P134" s="2362"/>
      <c r="Q134" s="2340"/>
      <c r="R134" s="2406"/>
      <c r="S134" s="2406"/>
      <c r="T134" s="2341"/>
      <c r="U134" s="2341"/>
      <c r="V134" s="2388"/>
      <c r="W134" s="2373"/>
      <c r="X134" s="411"/>
      <c r="Y134" s="2310"/>
    </row>
    <row r="135" spans="1:25">
      <c r="A135" s="3043">
        <v>4145</v>
      </c>
      <c r="B135" s="3056"/>
      <c r="C135" s="3043" t="s">
        <v>109</v>
      </c>
      <c r="D135" s="3052" t="s">
        <v>1747</v>
      </c>
      <c r="E135" s="2365" t="s">
        <v>1748</v>
      </c>
      <c r="F135" s="2471"/>
      <c r="G135" s="2389"/>
      <c r="H135" s="2348"/>
      <c r="I135" s="2473"/>
      <c r="J135" s="2482"/>
      <c r="K135" s="2369">
        <f>SUM(K136,K137)</f>
        <v>1700</v>
      </c>
      <c r="L135" s="2449">
        <f>SUM(L136:L137)</f>
        <v>1</v>
      </c>
      <c r="M135" s="2429"/>
      <c r="N135" s="2403">
        <f>SUM(N136:N137)</f>
        <v>4.9750000000000003E-2</v>
      </c>
      <c r="O135" s="3055">
        <f>IF(Q135&gt;0,N135,"na")</f>
        <v>4.9750000000000003E-2</v>
      </c>
      <c r="P135" s="2442">
        <f t="shared" ref="P135:S135" si="45">SUM(P136:P137)</f>
        <v>2018804060</v>
      </c>
      <c r="Q135" s="896">
        <f t="shared" si="45"/>
        <v>2018804060</v>
      </c>
      <c r="R135" s="896">
        <f t="shared" si="45"/>
        <v>1919744960</v>
      </c>
      <c r="S135" s="896">
        <f t="shared" si="45"/>
        <v>0</v>
      </c>
      <c r="T135" s="2341">
        <f t="shared" ref="T135:U137" si="46">IF(Q135=0,0,R135/Q135)</f>
        <v>0.95093179077517809</v>
      </c>
      <c r="U135" s="2341">
        <f t="shared" si="46"/>
        <v>0</v>
      </c>
      <c r="V135" s="2470" t="s">
        <v>1579</v>
      </c>
      <c r="W135" s="2470" t="s">
        <v>1580</v>
      </c>
      <c r="X135" s="411"/>
      <c r="Y135" s="3039" t="s">
        <v>1518</v>
      </c>
    </row>
    <row r="136" spans="1:25" ht="67.5">
      <c r="A136" s="3042"/>
      <c r="B136" s="3042"/>
      <c r="C136" s="3042"/>
      <c r="D136" s="3042"/>
      <c r="E136" s="2365" t="s">
        <v>1749</v>
      </c>
      <c r="F136" s="2471"/>
      <c r="G136" s="3057" t="s">
        <v>1750</v>
      </c>
      <c r="H136" s="2348"/>
      <c r="I136" s="2407" t="s">
        <v>1751</v>
      </c>
      <c r="J136" s="2407" t="s">
        <v>1489</v>
      </c>
      <c r="K136" s="2369">
        <v>1200</v>
      </c>
      <c r="L136" s="2449">
        <v>0.67</v>
      </c>
      <c r="M136" s="2406">
        <v>30</v>
      </c>
      <c r="N136" s="2339">
        <v>1.6750000000000001E-2</v>
      </c>
      <c r="O136" s="3049"/>
      <c r="P136" s="2442">
        <v>1346851199</v>
      </c>
      <c r="Q136" s="2340">
        <v>1346851199</v>
      </c>
      <c r="R136" s="2340">
        <v>1288313699</v>
      </c>
      <c r="S136" s="2340">
        <v>0</v>
      </c>
      <c r="T136" s="2341">
        <f t="shared" si="46"/>
        <v>0.95653751502507289</v>
      </c>
      <c r="U136" s="2341">
        <f t="shared" si="46"/>
        <v>0</v>
      </c>
      <c r="V136" s="2472">
        <v>45397</v>
      </c>
      <c r="W136" s="2472">
        <v>45657</v>
      </c>
      <c r="X136" s="2390" t="s">
        <v>5073</v>
      </c>
      <c r="Y136" s="3042"/>
    </row>
    <row r="137" spans="1:25" ht="67.5">
      <c r="A137" s="3040"/>
      <c r="B137" s="3040"/>
      <c r="C137" s="3040"/>
      <c r="D137" s="3040"/>
      <c r="E137" s="2365" t="s">
        <v>1752</v>
      </c>
      <c r="F137" s="2471"/>
      <c r="G137" s="3040"/>
      <c r="H137" s="2348"/>
      <c r="I137" s="2407" t="s">
        <v>1753</v>
      </c>
      <c r="J137" s="2407" t="s">
        <v>1684</v>
      </c>
      <c r="K137" s="2369">
        <v>500</v>
      </c>
      <c r="L137" s="2449">
        <v>0.33</v>
      </c>
      <c r="M137" s="2429">
        <v>50</v>
      </c>
      <c r="N137" s="2403">
        <v>3.3000000000000002E-2</v>
      </c>
      <c r="O137" s="3049"/>
      <c r="P137" s="2442">
        <v>671952861</v>
      </c>
      <c r="Q137" s="2340">
        <v>671952861</v>
      </c>
      <c r="R137" s="2340">
        <v>631431261</v>
      </c>
      <c r="S137" s="2340">
        <v>0</v>
      </c>
      <c r="T137" s="2341">
        <f t="shared" si="46"/>
        <v>0.93969576981978209</v>
      </c>
      <c r="U137" s="2341">
        <f t="shared" si="46"/>
        <v>0</v>
      </c>
      <c r="V137" s="2472">
        <v>45397</v>
      </c>
      <c r="W137" s="2472">
        <v>45657</v>
      </c>
      <c r="X137" s="2390" t="s">
        <v>5074</v>
      </c>
      <c r="Y137" s="3040"/>
    </row>
    <row r="138" spans="1:25" ht="63.75">
      <c r="A138" s="2474"/>
      <c r="B138" s="2344">
        <v>52030010015</v>
      </c>
      <c r="C138" s="2344" t="s">
        <v>103</v>
      </c>
      <c r="D138" s="2327" t="s">
        <v>1754</v>
      </c>
      <c r="E138" s="2360"/>
      <c r="F138" s="2374"/>
      <c r="G138" s="2394"/>
      <c r="H138" s="2374"/>
      <c r="I138" s="2394"/>
      <c r="J138" s="2488"/>
      <c r="K138" s="2374"/>
      <c r="L138" s="2394"/>
      <c r="M138" s="409"/>
      <c r="N138" s="2489"/>
      <c r="O138" s="2490"/>
      <c r="P138" s="2394"/>
      <c r="Q138" s="2340"/>
      <c r="R138" s="2406"/>
      <c r="S138" s="2406"/>
      <c r="T138" s="2341"/>
      <c r="U138" s="2341"/>
      <c r="V138" s="2394"/>
      <c r="W138" s="2394"/>
      <c r="X138" s="411"/>
      <c r="Y138" s="2317"/>
    </row>
    <row r="139" spans="1:25">
      <c r="A139" s="3056">
        <v>4145</v>
      </c>
      <c r="B139" s="3043"/>
      <c r="C139" s="3043" t="s">
        <v>109</v>
      </c>
      <c r="D139" s="3039" t="s">
        <v>1755</v>
      </c>
      <c r="E139" s="2360" t="s">
        <v>1756</v>
      </c>
      <c r="F139" s="2348"/>
      <c r="G139" s="2345"/>
      <c r="H139" s="2348"/>
      <c r="I139" s="2345"/>
      <c r="J139" s="2360"/>
      <c r="K139" s="2369">
        <f>K143</f>
        <v>5</v>
      </c>
      <c r="L139" s="2449">
        <f>SUM(L140:L143)</f>
        <v>1</v>
      </c>
      <c r="M139" s="409"/>
      <c r="N139" s="2489">
        <f>SUM(N140:N143)</f>
        <v>0.52600000000000002</v>
      </c>
      <c r="O139" s="3055">
        <f>IF(Q139&gt;0,N139,"na")</f>
        <v>0.52600000000000002</v>
      </c>
      <c r="P139" s="2442">
        <f t="shared" ref="P139:S139" si="47">SUM(P140:P143)</f>
        <v>1036840000</v>
      </c>
      <c r="Q139" s="2340">
        <f t="shared" si="47"/>
        <v>1340340000</v>
      </c>
      <c r="R139" s="2406">
        <f t="shared" si="47"/>
        <v>780130392</v>
      </c>
      <c r="S139" s="2406">
        <f t="shared" si="47"/>
        <v>124241000</v>
      </c>
      <c r="T139" s="2341">
        <f t="shared" ref="T139:U143" si="48">IF(Q139=0,0,R139/Q139)</f>
        <v>0.58203917811898476</v>
      </c>
      <c r="U139" s="2341">
        <f t="shared" si="48"/>
        <v>0.15925671051154228</v>
      </c>
      <c r="V139" s="2470" t="s">
        <v>1579</v>
      </c>
      <c r="W139" s="2470" t="s">
        <v>1580</v>
      </c>
      <c r="X139" s="411"/>
      <c r="Y139" s="3039" t="s">
        <v>1518</v>
      </c>
    </row>
    <row r="140" spans="1:25" ht="67.5">
      <c r="A140" s="3042"/>
      <c r="B140" s="3042"/>
      <c r="C140" s="3042"/>
      <c r="D140" s="3042"/>
      <c r="E140" s="2360" t="s">
        <v>1757</v>
      </c>
      <c r="F140" s="2348"/>
      <c r="G140" s="2345"/>
      <c r="H140" s="2348"/>
      <c r="I140" s="2407" t="s">
        <v>1758</v>
      </c>
      <c r="J140" s="2407" t="s">
        <v>1544</v>
      </c>
      <c r="K140" s="2369">
        <v>1</v>
      </c>
      <c r="L140" s="2449">
        <v>0.24</v>
      </c>
      <c r="M140" s="424">
        <v>0</v>
      </c>
      <c r="N140" s="2341">
        <v>3.5999999999999997E-2</v>
      </c>
      <c r="O140" s="3049"/>
      <c r="P140" s="2442">
        <v>79048400</v>
      </c>
      <c r="Q140" s="896">
        <v>79048400</v>
      </c>
      <c r="R140" s="896">
        <v>28017760</v>
      </c>
      <c r="S140" s="896">
        <v>18843380</v>
      </c>
      <c r="T140" s="2341">
        <f t="shared" si="48"/>
        <v>0.35443804049164818</v>
      </c>
      <c r="U140" s="2341">
        <f t="shared" si="48"/>
        <v>0.67255126748176874</v>
      </c>
      <c r="V140" s="2345" t="s">
        <v>1579</v>
      </c>
      <c r="W140" s="2345" t="s">
        <v>1580</v>
      </c>
      <c r="X140" s="2390" t="s">
        <v>5075</v>
      </c>
      <c r="Y140" s="3042"/>
    </row>
    <row r="141" spans="1:25" ht="108">
      <c r="A141" s="3042"/>
      <c r="B141" s="3042"/>
      <c r="C141" s="3042"/>
      <c r="D141" s="3042"/>
      <c r="E141" s="2360" t="s">
        <v>1759</v>
      </c>
      <c r="F141" s="2348"/>
      <c r="G141" s="2345"/>
      <c r="H141" s="2348"/>
      <c r="I141" s="2407" t="s">
        <v>1760</v>
      </c>
      <c r="J141" s="2407" t="s">
        <v>1522</v>
      </c>
      <c r="K141" s="2369">
        <v>5</v>
      </c>
      <c r="L141" s="2449">
        <v>0.21</v>
      </c>
      <c r="M141" s="2429">
        <v>2</v>
      </c>
      <c r="N141" s="2403">
        <v>8.3999999999999991E-2</v>
      </c>
      <c r="O141" s="3049"/>
      <c r="P141" s="2442">
        <v>98608750</v>
      </c>
      <c r="Q141" s="896">
        <v>98608750</v>
      </c>
      <c r="R141" s="896">
        <v>42087400</v>
      </c>
      <c r="S141" s="896">
        <v>26465200</v>
      </c>
      <c r="T141" s="2341">
        <f t="shared" si="48"/>
        <v>0.4268120222596879</v>
      </c>
      <c r="U141" s="2341">
        <f t="shared" si="48"/>
        <v>0.62881527488036804</v>
      </c>
      <c r="V141" s="2345" t="s">
        <v>1579</v>
      </c>
      <c r="W141" s="2345" t="s">
        <v>1580</v>
      </c>
      <c r="X141" s="2390" t="s">
        <v>5076</v>
      </c>
      <c r="Y141" s="3042"/>
    </row>
    <row r="142" spans="1:25" ht="94.5">
      <c r="A142" s="3042"/>
      <c r="B142" s="3042"/>
      <c r="C142" s="3042"/>
      <c r="D142" s="3042"/>
      <c r="E142" s="2360" t="s">
        <v>1761</v>
      </c>
      <c r="F142" s="2348"/>
      <c r="G142" s="2345"/>
      <c r="H142" s="2348"/>
      <c r="I142" s="2407" t="s">
        <v>1762</v>
      </c>
      <c r="J142" s="2407" t="s">
        <v>1586</v>
      </c>
      <c r="K142" s="2369">
        <v>5</v>
      </c>
      <c r="L142" s="2449">
        <v>0.38</v>
      </c>
      <c r="M142" s="896">
        <v>4</v>
      </c>
      <c r="N142" s="2339">
        <v>0.30399999999999999</v>
      </c>
      <c r="O142" s="3049"/>
      <c r="P142" s="2442">
        <v>786019950</v>
      </c>
      <c r="Q142" s="896">
        <v>1089519950</v>
      </c>
      <c r="R142" s="896">
        <v>671349232</v>
      </c>
      <c r="S142" s="896">
        <v>50718420</v>
      </c>
      <c r="T142" s="2341">
        <f t="shared" si="48"/>
        <v>0.6161881037607434</v>
      </c>
      <c r="U142" s="2341">
        <f t="shared" si="48"/>
        <v>7.5546999359641778E-2</v>
      </c>
      <c r="V142" s="2345" t="s">
        <v>1579</v>
      </c>
      <c r="W142" s="2345" t="s">
        <v>1580</v>
      </c>
      <c r="X142" s="2390" t="s">
        <v>5077</v>
      </c>
      <c r="Y142" s="3042"/>
    </row>
    <row r="143" spans="1:25" ht="121.5">
      <c r="A143" s="3040"/>
      <c r="B143" s="3040"/>
      <c r="C143" s="3040"/>
      <c r="D143" s="3040"/>
      <c r="E143" s="2360" t="s">
        <v>1763</v>
      </c>
      <c r="F143" s="2348"/>
      <c r="G143" s="2334" t="s">
        <v>1764</v>
      </c>
      <c r="H143" s="2348"/>
      <c r="I143" s="2407" t="s">
        <v>1765</v>
      </c>
      <c r="J143" s="2407" t="s">
        <v>1766</v>
      </c>
      <c r="K143" s="2369">
        <v>5</v>
      </c>
      <c r="L143" s="2449">
        <v>0.17</v>
      </c>
      <c r="M143" s="896">
        <v>3</v>
      </c>
      <c r="N143" s="2339">
        <v>0.10200000000000001</v>
      </c>
      <c r="O143" s="3050"/>
      <c r="P143" s="2442">
        <v>73162900</v>
      </c>
      <c r="Q143" s="896">
        <v>73162900</v>
      </c>
      <c r="R143" s="896">
        <v>38676000</v>
      </c>
      <c r="S143" s="896">
        <v>28214000</v>
      </c>
      <c r="T143" s="2341">
        <f t="shared" si="48"/>
        <v>0.5286285808791068</v>
      </c>
      <c r="U143" s="2341">
        <f t="shared" si="48"/>
        <v>0.72949632847243773</v>
      </c>
      <c r="V143" s="2345" t="s">
        <v>1579</v>
      </c>
      <c r="W143" s="2345" t="s">
        <v>1580</v>
      </c>
      <c r="X143" s="2390" t="s">
        <v>5078</v>
      </c>
      <c r="Y143" s="3040"/>
    </row>
    <row r="144" spans="1:25" ht="38.25">
      <c r="A144" s="2374"/>
      <c r="B144" s="2344">
        <v>52030010017</v>
      </c>
      <c r="C144" s="2344" t="s">
        <v>103</v>
      </c>
      <c r="D144" s="2327" t="s">
        <v>1767</v>
      </c>
      <c r="E144" s="2360"/>
      <c r="F144" s="2491"/>
      <c r="G144" s="2394"/>
      <c r="H144" s="2374"/>
      <c r="I144" s="2394"/>
      <c r="J144" s="2488"/>
      <c r="K144" s="2374"/>
      <c r="L144" s="2394"/>
      <c r="M144" s="896"/>
      <c r="N144" s="2339"/>
      <c r="O144" s="2478"/>
      <c r="P144" s="2394"/>
      <c r="Q144" s="896"/>
      <c r="R144" s="896"/>
      <c r="S144" s="2406"/>
      <c r="T144" s="2341"/>
      <c r="U144" s="2341"/>
      <c r="V144" s="2394"/>
      <c r="W144" s="2394"/>
      <c r="X144" s="411"/>
      <c r="Y144" s="2317"/>
    </row>
    <row r="145" spans="1:25">
      <c r="A145" s="3043">
        <v>4145</v>
      </c>
      <c r="B145" s="3043"/>
      <c r="C145" s="3043" t="s">
        <v>109</v>
      </c>
      <c r="D145" s="3039" t="s">
        <v>1768</v>
      </c>
      <c r="E145" s="2360" t="s">
        <v>1769</v>
      </c>
      <c r="F145" s="2348"/>
      <c r="G145" s="2345"/>
      <c r="H145" s="2348"/>
      <c r="I145" s="2345"/>
      <c r="J145" s="2360"/>
      <c r="K145" s="2369">
        <f t="shared" ref="K145:L145" si="49">SUM(K146:K148)</f>
        <v>8180</v>
      </c>
      <c r="L145" s="2449">
        <f t="shared" si="49"/>
        <v>1</v>
      </c>
      <c r="M145" s="2181"/>
      <c r="N145" s="2410">
        <f>SUM(N146:N148)</f>
        <v>0.27313628542119572</v>
      </c>
      <c r="O145" s="3055">
        <f>IF(Q145&gt;0,N145,"na")</f>
        <v>0.27313628542119572</v>
      </c>
      <c r="P145" s="2442">
        <f t="shared" ref="P145:S145" si="50">SUM(P146:P148)</f>
        <v>610812936</v>
      </c>
      <c r="Q145" s="896">
        <f t="shared" si="50"/>
        <v>610812936</v>
      </c>
      <c r="R145" s="896">
        <f t="shared" si="50"/>
        <v>212527936</v>
      </c>
      <c r="S145" s="896">
        <f t="shared" si="50"/>
        <v>89553000</v>
      </c>
      <c r="T145" s="2341">
        <f t="shared" ref="T145:U148" si="51">IF(Q145=0,0,R145/Q145)</f>
        <v>0.34794275542324138</v>
      </c>
      <c r="U145" s="2341">
        <f t="shared" si="51"/>
        <v>0.42137048750146427</v>
      </c>
      <c r="V145" s="2470" t="s">
        <v>1579</v>
      </c>
      <c r="W145" s="2470" t="s">
        <v>1580</v>
      </c>
      <c r="X145" s="411"/>
      <c r="Y145" s="3039" t="s">
        <v>1518</v>
      </c>
    </row>
    <row r="146" spans="1:25" ht="94.5">
      <c r="A146" s="3042"/>
      <c r="B146" s="3042"/>
      <c r="C146" s="3042"/>
      <c r="D146" s="3042"/>
      <c r="E146" s="2360" t="s">
        <v>1770</v>
      </c>
      <c r="F146" s="2348"/>
      <c r="G146" s="2334" t="s">
        <v>1771</v>
      </c>
      <c r="H146" s="2348"/>
      <c r="I146" s="2492" t="s">
        <v>1772</v>
      </c>
      <c r="J146" s="2407" t="s">
        <v>1773</v>
      </c>
      <c r="K146" s="2369">
        <v>6387</v>
      </c>
      <c r="L146" s="2405">
        <v>0.3</v>
      </c>
      <c r="M146" s="2429">
        <v>1273</v>
      </c>
      <c r="N146" s="2403">
        <v>5.9793330201972757E-2</v>
      </c>
      <c r="O146" s="3049"/>
      <c r="P146" s="2369">
        <v>139574400</v>
      </c>
      <c r="Q146" s="896">
        <v>139574400</v>
      </c>
      <c r="R146" s="896">
        <v>44380000</v>
      </c>
      <c r="S146" s="896">
        <v>17752000</v>
      </c>
      <c r="T146" s="2341">
        <f t="shared" si="51"/>
        <v>0.31796661852030172</v>
      </c>
      <c r="U146" s="2341">
        <f t="shared" si="51"/>
        <v>0.4</v>
      </c>
      <c r="V146" s="2470">
        <v>45323</v>
      </c>
      <c r="W146" s="2470" t="s">
        <v>1580</v>
      </c>
      <c r="X146" s="2493" t="s">
        <v>5079</v>
      </c>
      <c r="Y146" s="3042"/>
    </row>
    <row r="147" spans="1:25" ht="121.5">
      <c r="A147" s="3042"/>
      <c r="B147" s="3042"/>
      <c r="C147" s="3042"/>
      <c r="D147" s="3042"/>
      <c r="E147" s="2360" t="s">
        <v>1774</v>
      </c>
      <c r="F147" s="2348"/>
      <c r="G147" s="2334"/>
      <c r="H147" s="2404"/>
      <c r="I147" s="2407" t="s">
        <v>1775</v>
      </c>
      <c r="J147" s="2407" t="s">
        <v>1776</v>
      </c>
      <c r="K147" s="2369">
        <v>493</v>
      </c>
      <c r="L147" s="2405">
        <v>0.4</v>
      </c>
      <c r="M147" s="2429">
        <v>125</v>
      </c>
      <c r="N147" s="2339">
        <v>0.10141987829614604</v>
      </c>
      <c r="O147" s="3049"/>
      <c r="P147" s="2369">
        <v>378201600</v>
      </c>
      <c r="Q147" s="896">
        <v>378201600</v>
      </c>
      <c r="R147" s="896">
        <v>122998000</v>
      </c>
      <c r="S147" s="896">
        <v>56268000</v>
      </c>
      <c r="T147" s="2341">
        <f t="shared" si="51"/>
        <v>0.32521808474633634</v>
      </c>
      <c r="U147" s="2341">
        <f t="shared" si="51"/>
        <v>0.45747085318460462</v>
      </c>
      <c r="V147" s="2470">
        <v>45323</v>
      </c>
      <c r="W147" s="2470" t="s">
        <v>1580</v>
      </c>
      <c r="X147" s="2493" t="s">
        <v>5080</v>
      </c>
      <c r="Y147" s="3042"/>
    </row>
    <row r="148" spans="1:25" ht="81">
      <c r="A148" s="3040"/>
      <c r="B148" s="3040"/>
      <c r="C148" s="3040"/>
      <c r="D148" s="3040"/>
      <c r="E148" s="2360" t="s">
        <v>1777</v>
      </c>
      <c r="F148" s="2348"/>
      <c r="G148" s="2334"/>
      <c r="H148" s="2404"/>
      <c r="I148" s="2407" t="s">
        <v>1778</v>
      </c>
      <c r="J148" s="2407" t="s">
        <v>106</v>
      </c>
      <c r="K148" s="2369">
        <v>1300</v>
      </c>
      <c r="L148" s="2405">
        <v>0.3</v>
      </c>
      <c r="M148" s="896">
        <v>485</v>
      </c>
      <c r="N148" s="2339">
        <v>0.11192307692307692</v>
      </c>
      <c r="O148" s="3050"/>
      <c r="P148" s="2369">
        <v>93036936</v>
      </c>
      <c r="Q148" s="896">
        <v>93036936</v>
      </c>
      <c r="R148" s="896">
        <v>45149936</v>
      </c>
      <c r="S148" s="896">
        <v>15533000</v>
      </c>
      <c r="T148" s="2341">
        <f t="shared" si="51"/>
        <v>0.4852904442166926</v>
      </c>
      <c r="U148" s="2341">
        <f t="shared" si="51"/>
        <v>0.34403149541563027</v>
      </c>
      <c r="V148" s="2470">
        <v>45323</v>
      </c>
      <c r="W148" s="2470" t="s">
        <v>1580</v>
      </c>
      <c r="X148" s="2493" t="s">
        <v>5081</v>
      </c>
      <c r="Y148" s="3040"/>
    </row>
    <row r="149" spans="1:25" ht="49.5">
      <c r="A149" s="2374"/>
      <c r="B149" s="2374">
        <v>5203002</v>
      </c>
      <c r="C149" s="2374" t="s">
        <v>102</v>
      </c>
      <c r="D149" s="2317" t="s">
        <v>1779</v>
      </c>
      <c r="E149" s="2488"/>
      <c r="F149" s="2374"/>
      <c r="G149" s="2394"/>
      <c r="H149" s="2374"/>
      <c r="I149" s="2394"/>
      <c r="J149" s="2488"/>
      <c r="K149" s="2374"/>
      <c r="L149" s="2394"/>
      <c r="M149" s="2325"/>
      <c r="N149" s="2324"/>
      <c r="O149" s="2326"/>
      <c r="P149" s="2394"/>
      <c r="Q149" s="2325"/>
      <c r="R149" s="2325"/>
      <c r="S149" s="2325"/>
      <c r="T149" s="2356"/>
      <c r="U149" s="2356"/>
      <c r="V149" s="2394"/>
      <c r="W149" s="2394"/>
      <c r="X149" s="2494"/>
      <c r="Y149" s="2317"/>
    </row>
    <row r="150" spans="1:25" ht="25.5">
      <c r="A150" s="2344"/>
      <c r="B150" s="2344">
        <v>52030020001</v>
      </c>
      <c r="C150" s="2344" t="s">
        <v>103</v>
      </c>
      <c r="D150" s="2327" t="s">
        <v>1780</v>
      </c>
      <c r="E150" s="2495"/>
      <c r="F150" s="2344"/>
      <c r="G150" s="2353"/>
      <c r="H150" s="2344"/>
      <c r="I150" s="2353"/>
      <c r="J150" s="2496"/>
      <c r="K150" s="2344"/>
      <c r="L150" s="2353"/>
      <c r="M150" s="2400"/>
      <c r="N150" s="2401"/>
      <c r="O150" s="2401"/>
      <c r="P150" s="2353"/>
      <c r="Q150" s="2402"/>
      <c r="R150" s="2402"/>
      <c r="S150" s="2402"/>
      <c r="T150" s="2364"/>
      <c r="U150" s="2364"/>
      <c r="V150" s="2353"/>
      <c r="W150" s="2353"/>
      <c r="X150" s="403"/>
      <c r="Y150" s="2327"/>
    </row>
    <row r="151" spans="1:25">
      <c r="A151" s="3043">
        <v>4145</v>
      </c>
      <c r="B151" s="3043"/>
      <c r="C151" s="3043" t="s">
        <v>109</v>
      </c>
      <c r="D151" s="3039" t="s">
        <v>1781</v>
      </c>
      <c r="E151" s="2360" t="s">
        <v>1782</v>
      </c>
      <c r="F151" s="2348"/>
      <c r="G151" s="2345"/>
      <c r="H151" s="2497"/>
      <c r="I151" s="2345"/>
      <c r="J151" s="2360"/>
      <c r="K151" s="2369">
        <f>SUM(K152)</f>
        <v>7027</v>
      </c>
      <c r="L151" s="2405">
        <f>SUM(L152:L155)</f>
        <v>0.99999999999999989</v>
      </c>
      <c r="M151" s="2181"/>
      <c r="N151" s="2410">
        <f>SUM(N152:N155)</f>
        <v>0.49999999999999994</v>
      </c>
      <c r="O151" s="3055">
        <f>IF(Q151&gt;0,N151,"na")</f>
        <v>0.49999999999999994</v>
      </c>
      <c r="P151" s="2442">
        <f t="shared" ref="P151:S151" si="52">SUM(P152:P155)</f>
        <v>1310776726510</v>
      </c>
      <c r="Q151" s="896">
        <f t="shared" si="52"/>
        <v>1476413030703</v>
      </c>
      <c r="R151" s="896">
        <f t="shared" si="52"/>
        <v>445902573867</v>
      </c>
      <c r="S151" s="896">
        <f t="shared" si="52"/>
        <v>445792696867</v>
      </c>
      <c r="T151" s="2341">
        <f t="shared" ref="T151:U155" si="53">IF(Q151=0,0,R151/Q151)</f>
        <v>0.30201750092566015</v>
      </c>
      <c r="U151" s="2341">
        <f t="shared" si="53"/>
        <v>0.99975358518555502</v>
      </c>
      <c r="V151" s="2470" t="s">
        <v>1579</v>
      </c>
      <c r="W151" s="2470" t="s">
        <v>1580</v>
      </c>
      <c r="X151" s="411"/>
      <c r="Y151" s="3039" t="s">
        <v>1723</v>
      </c>
    </row>
    <row r="152" spans="1:25" ht="94.5">
      <c r="A152" s="3042"/>
      <c r="B152" s="3042"/>
      <c r="C152" s="3042"/>
      <c r="D152" s="3042"/>
      <c r="E152" s="2360" t="s">
        <v>1783</v>
      </c>
      <c r="F152" s="2348"/>
      <c r="G152" s="2334" t="s">
        <v>1784</v>
      </c>
      <c r="H152" s="2497"/>
      <c r="I152" s="2334" t="s">
        <v>1785</v>
      </c>
      <c r="J152" s="2334" t="s">
        <v>1786</v>
      </c>
      <c r="K152" s="2448">
        <v>7027</v>
      </c>
      <c r="L152" s="2405">
        <v>0.7</v>
      </c>
      <c r="M152" s="2406">
        <v>6811</v>
      </c>
      <c r="N152" s="2339">
        <v>0.35</v>
      </c>
      <c r="O152" s="3049"/>
      <c r="P152" s="2442">
        <v>466116000</v>
      </c>
      <c r="Q152" s="896">
        <v>466116000</v>
      </c>
      <c r="R152" s="896">
        <v>195420824</v>
      </c>
      <c r="S152" s="896">
        <v>131749410</v>
      </c>
      <c r="T152" s="2341">
        <f t="shared" si="53"/>
        <v>0.41925362785229425</v>
      </c>
      <c r="U152" s="2341">
        <f t="shared" si="53"/>
        <v>0.6741830645438277</v>
      </c>
      <c r="V152" s="2470" t="s">
        <v>1579</v>
      </c>
      <c r="W152" s="2470" t="s">
        <v>1580</v>
      </c>
      <c r="X152" s="411" t="s">
        <v>5082</v>
      </c>
      <c r="Y152" s="3042"/>
    </row>
    <row r="153" spans="1:25" ht="94.5">
      <c r="A153" s="3042"/>
      <c r="B153" s="3042"/>
      <c r="C153" s="3042"/>
      <c r="D153" s="3042"/>
      <c r="E153" s="2360" t="s">
        <v>1787</v>
      </c>
      <c r="F153" s="2348"/>
      <c r="G153" s="2345"/>
      <c r="H153" s="2348"/>
      <c r="I153" s="2334" t="s">
        <v>1788</v>
      </c>
      <c r="J153" s="2334" t="s">
        <v>1789</v>
      </c>
      <c r="K153" s="2448">
        <v>2</v>
      </c>
      <c r="L153" s="2405">
        <v>0.1</v>
      </c>
      <c r="M153" s="2406">
        <v>1</v>
      </c>
      <c r="N153" s="2339">
        <v>0.05</v>
      </c>
      <c r="O153" s="3049"/>
      <c r="P153" s="2442">
        <v>234969000</v>
      </c>
      <c r="Q153" s="896">
        <v>234969000</v>
      </c>
      <c r="R153" s="896">
        <v>105397838</v>
      </c>
      <c r="S153" s="896">
        <v>63038920</v>
      </c>
      <c r="T153" s="2341">
        <f t="shared" si="53"/>
        <v>0.4485606101230375</v>
      </c>
      <c r="U153" s="2341">
        <f t="shared" si="53"/>
        <v>0.59810448863286925</v>
      </c>
      <c r="V153" s="2470" t="s">
        <v>1579</v>
      </c>
      <c r="W153" s="2470" t="s">
        <v>1580</v>
      </c>
      <c r="X153" s="411" t="s">
        <v>5083</v>
      </c>
      <c r="Y153" s="3042"/>
    </row>
    <row r="154" spans="1:25" ht="54">
      <c r="A154" s="3042"/>
      <c r="B154" s="3042"/>
      <c r="C154" s="3042"/>
      <c r="D154" s="3042"/>
      <c r="E154" s="2360" t="s">
        <v>1790</v>
      </c>
      <c r="F154" s="2348"/>
      <c r="G154" s="2345"/>
      <c r="H154" s="2348"/>
      <c r="I154" s="2334" t="s">
        <v>1791</v>
      </c>
      <c r="J154" s="2334" t="s">
        <v>1792</v>
      </c>
      <c r="K154" s="2448">
        <v>12</v>
      </c>
      <c r="L154" s="2405">
        <v>0.1</v>
      </c>
      <c r="M154" s="2406">
        <v>6</v>
      </c>
      <c r="N154" s="2339">
        <v>0.05</v>
      </c>
      <c r="O154" s="3049"/>
      <c r="P154" s="2442">
        <v>23415000</v>
      </c>
      <c r="Q154" s="896">
        <v>23415000</v>
      </c>
      <c r="R154" s="896">
        <v>13463338</v>
      </c>
      <c r="S154" s="896">
        <v>9616670</v>
      </c>
      <c r="T154" s="2341">
        <f t="shared" si="53"/>
        <v>0.57498774289985055</v>
      </c>
      <c r="U154" s="2341">
        <f t="shared" si="53"/>
        <v>0.7142857142857143</v>
      </c>
      <c r="V154" s="2470" t="s">
        <v>1579</v>
      </c>
      <c r="W154" s="2470" t="s">
        <v>1580</v>
      </c>
      <c r="X154" s="411" t="s">
        <v>5084</v>
      </c>
      <c r="Y154" s="3042"/>
    </row>
    <row r="155" spans="1:25" ht="81">
      <c r="A155" s="3040"/>
      <c r="B155" s="3040"/>
      <c r="C155" s="3040"/>
      <c r="D155" s="3040"/>
      <c r="E155" s="2360" t="s">
        <v>1793</v>
      </c>
      <c r="F155" s="2348"/>
      <c r="G155" s="2345"/>
      <c r="H155" s="2348"/>
      <c r="I155" s="2334" t="s">
        <v>1794</v>
      </c>
      <c r="J155" s="2334" t="s">
        <v>1795</v>
      </c>
      <c r="K155" s="2448">
        <v>1</v>
      </c>
      <c r="L155" s="2405">
        <v>0.1</v>
      </c>
      <c r="M155" s="2406">
        <v>0</v>
      </c>
      <c r="N155" s="2339">
        <v>0.05</v>
      </c>
      <c r="O155" s="3050"/>
      <c r="P155" s="2442">
        <v>1310052226510</v>
      </c>
      <c r="Q155" s="896">
        <v>1475688530703</v>
      </c>
      <c r="R155" s="896">
        <v>445588291867</v>
      </c>
      <c r="S155" s="896">
        <v>445588291867</v>
      </c>
      <c r="T155" s="2341">
        <f t="shared" si="53"/>
        <v>0.30195280548445219</v>
      </c>
      <c r="U155" s="2341">
        <f t="shared" si="53"/>
        <v>1</v>
      </c>
      <c r="V155" s="2470" t="s">
        <v>1579</v>
      </c>
      <c r="W155" s="2470" t="s">
        <v>1580</v>
      </c>
      <c r="X155" s="411" t="s">
        <v>5085</v>
      </c>
      <c r="Y155" s="3040"/>
    </row>
    <row r="156" spans="1:25">
      <c r="A156" s="2344"/>
      <c r="B156" s="2344">
        <v>52030020003</v>
      </c>
      <c r="C156" s="2344" t="s">
        <v>103</v>
      </c>
      <c r="D156" s="2327" t="s">
        <v>1796</v>
      </c>
      <c r="E156" s="2495"/>
      <c r="F156" s="2353"/>
      <c r="G156" s="2353"/>
      <c r="H156" s="2344"/>
      <c r="I156" s="2423"/>
      <c r="J156" s="2495"/>
      <c r="K156" s="2344"/>
      <c r="L156" s="2353"/>
      <c r="M156" s="2498"/>
      <c r="N156" s="2419"/>
      <c r="O156" s="480"/>
      <c r="P156" s="2353"/>
      <c r="Q156" s="2499"/>
      <c r="R156" s="2499"/>
      <c r="S156" s="2499"/>
      <c r="T156" s="2364"/>
      <c r="U156" s="2364"/>
      <c r="V156" s="2353"/>
      <c r="W156" s="2353"/>
      <c r="X156" s="403"/>
      <c r="Y156" s="2327"/>
    </row>
    <row r="157" spans="1:25">
      <c r="A157" s="3043">
        <v>4145</v>
      </c>
      <c r="B157" s="3043"/>
      <c r="C157" s="3043" t="s">
        <v>109</v>
      </c>
      <c r="D157" s="3039" t="s">
        <v>1797</v>
      </c>
      <c r="E157" s="2360" t="s">
        <v>1798</v>
      </c>
      <c r="F157" s="2348"/>
      <c r="G157" s="2345"/>
      <c r="H157" s="2497"/>
      <c r="I157" s="2389"/>
      <c r="J157" s="2360"/>
      <c r="K157" s="2448">
        <f>SUM(K159)</f>
        <v>124600</v>
      </c>
      <c r="L157" s="2405">
        <f>SUM(L158:L159)</f>
        <v>1</v>
      </c>
      <c r="M157" s="2406"/>
      <c r="N157" s="2339">
        <f>SUM(N158:N159)</f>
        <v>0.49999999999999994</v>
      </c>
      <c r="O157" s="3048">
        <f>IF(Q157&gt;0,N157,"na")</f>
        <v>0.49999999999999994</v>
      </c>
      <c r="P157" s="2442">
        <f t="shared" ref="P157:S157" si="54">SUM(P158:P159)</f>
        <v>4277274360</v>
      </c>
      <c r="Q157" s="896">
        <f t="shared" si="54"/>
        <v>7277274360</v>
      </c>
      <c r="R157" s="896">
        <f t="shared" si="54"/>
        <v>855583801</v>
      </c>
      <c r="S157" s="896">
        <f t="shared" si="54"/>
        <v>122014000</v>
      </c>
      <c r="T157" s="2341">
        <f t="shared" ref="T157:U159" si="55">IF(Q157=0,0,R157/Q157)</f>
        <v>0.11756926545229222</v>
      </c>
      <c r="U157" s="2341">
        <f t="shared" si="55"/>
        <v>0.14260905811609681</v>
      </c>
      <c r="V157" s="2470" t="s">
        <v>1579</v>
      </c>
      <c r="W157" s="2470" t="s">
        <v>1580</v>
      </c>
      <c r="X157" s="411"/>
      <c r="Y157" s="3039" t="s">
        <v>1723</v>
      </c>
    </row>
    <row r="158" spans="1:25" ht="40.5">
      <c r="A158" s="3042"/>
      <c r="B158" s="3042"/>
      <c r="C158" s="3042"/>
      <c r="D158" s="3042"/>
      <c r="E158" s="2360" t="s">
        <v>1799</v>
      </c>
      <c r="F158" s="2348"/>
      <c r="G158" s="2500"/>
      <c r="H158" s="2500"/>
      <c r="I158" s="2407" t="s">
        <v>1800</v>
      </c>
      <c r="J158" s="2407" t="s">
        <v>1801</v>
      </c>
      <c r="K158" s="2448">
        <v>10</v>
      </c>
      <c r="L158" s="2405">
        <v>0.1</v>
      </c>
      <c r="M158" s="2406">
        <v>9</v>
      </c>
      <c r="N158" s="2339">
        <v>0.05</v>
      </c>
      <c r="O158" s="3049"/>
      <c r="P158" s="2442">
        <v>247566000</v>
      </c>
      <c r="Q158" s="896">
        <v>247566000</v>
      </c>
      <c r="R158" s="896">
        <v>123713972</v>
      </c>
      <c r="S158" s="896">
        <v>81828648</v>
      </c>
      <c r="T158" s="2501">
        <f t="shared" si="55"/>
        <v>0.499721173343674</v>
      </c>
      <c r="U158" s="2501">
        <f t="shared" si="55"/>
        <v>0.66143416687001211</v>
      </c>
      <c r="V158" s="2502" t="s">
        <v>1579</v>
      </c>
      <c r="W158" s="2502" t="s">
        <v>1580</v>
      </c>
      <c r="X158" s="1214" t="s">
        <v>1802</v>
      </c>
      <c r="Y158" s="3042"/>
    </row>
    <row r="159" spans="1:25" ht="27">
      <c r="A159" s="3040"/>
      <c r="B159" s="3040"/>
      <c r="C159" s="3040"/>
      <c r="D159" s="3040"/>
      <c r="E159" s="2360" t="s">
        <v>1803</v>
      </c>
      <c r="F159" s="2348"/>
      <c r="G159" s="2334" t="s">
        <v>1796</v>
      </c>
      <c r="H159" s="2497"/>
      <c r="I159" s="2407" t="s">
        <v>1804</v>
      </c>
      <c r="J159" s="2407" t="s">
        <v>1684</v>
      </c>
      <c r="K159" s="2448">
        <v>124600</v>
      </c>
      <c r="L159" s="2405">
        <v>0.9</v>
      </c>
      <c r="M159" s="2429">
        <v>6732</v>
      </c>
      <c r="N159" s="2403">
        <v>0.44999999999999996</v>
      </c>
      <c r="O159" s="3050"/>
      <c r="P159" s="2442">
        <v>4029708360</v>
      </c>
      <c r="Q159" s="896">
        <v>7029708360</v>
      </c>
      <c r="R159" s="896">
        <v>731869829</v>
      </c>
      <c r="S159" s="896">
        <v>40185352</v>
      </c>
      <c r="T159" s="2501">
        <f t="shared" si="55"/>
        <v>0.10411098035936159</v>
      </c>
      <c r="U159" s="2501">
        <f t="shared" si="55"/>
        <v>5.4907786067513925E-2</v>
      </c>
      <c r="V159" s="2432" t="s">
        <v>1579</v>
      </c>
      <c r="W159" s="2432" t="s">
        <v>1580</v>
      </c>
      <c r="X159" s="1214" t="s">
        <v>5086</v>
      </c>
      <c r="Y159" s="3040"/>
    </row>
    <row r="160" spans="1:25" ht="38.25">
      <c r="A160" s="2344"/>
      <c r="B160" s="2344">
        <v>52030020004</v>
      </c>
      <c r="C160" s="2344" t="s">
        <v>103</v>
      </c>
      <c r="D160" s="2327" t="s">
        <v>1805</v>
      </c>
      <c r="E160" s="2495"/>
      <c r="F160" s="2414"/>
      <c r="G160" s="2353"/>
      <c r="H160" s="2344"/>
      <c r="I160" s="2357"/>
      <c r="J160" s="2357"/>
      <c r="K160" s="2344"/>
      <c r="L160" s="2353"/>
      <c r="M160" s="2418"/>
      <c r="N160" s="2331"/>
      <c r="O160" s="2364"/>
      <c r="P160" s="2353"/>
      <c r="Q160" s="2332"/>
      <c r="R160" s="2332"/>
      <c r="S160" s="2498"/>
      <c r="T160" s="2364"/>
      <c r="U160" s="2364"/>
      <c r="V160" s="2353"/>
      <c r="W160" s="2353"/>
      <c r="X160" s="403"/>
      <c r="Y160" s="2327"/>
    </row>
    <row r="161" spans="1:25">
      <c r="A161" s="3043">
        <v>4145</v>
      </c>
      <c r="B161" s="3043"/>
      <c r="C161" s="3043" t="s">
        <v>109</v>
      </c>
      <c r="D161" s="3039" t="s">
        <v>1806</v>
      </c>
      <c r="E161" s="2360" t="s">
        <v>1807</v>
      </c>
      <c r="F161" s="2348"/>
      <c r="G161" s="2345"/>
      <c r="H161" s="2404"/>
      <c r="I161" s="2334"/>
      <c r="J161" s="2334"/>
      <c r="K161" s="2448">
        <f>SUM(K162)</f>
        <v>150</v>
      </c>
      <c r="L161" s="2405">
        <f>SUM(L162:L164)</f>
        <v>1</v>
      </c>
      <c r="M161" s="2429"/>
      <c r="N161" s="2339">
        <f>SUM(N162:N164)</f>
        <v>0.5</v>
      </c>
      <c r="O161" s="3048">
        <f>IF(Q161&gt;0,N161,"na")</f>
        <v>0.5</v>
      </c>
      <c r="P161" s="2442">
        <f t="shared" ref="P161:S161" si="56">SUM(P162:P164)</f>
        <v>3265632413</v>
      </c>
      <c r="Q161" s="2442">
        <f t="shared" si="56"/>
        <v>3265632413</v>
      </c>
      <c r="R161" s="2442">
        <f t="shared" si="56"/>
        <v>1905131500</v>
      </c>
      <c r="S161" s="2442">
        <f t="shared" si="56"/>
        <v>1223500500</v>
      </c>
      <c r="T161" s="2341">
        <f t="shared" ref="T161:U164" si="57">IF(Q161=0,0,R161/Q161)</f>
        <v>0.58338822594237894</v>
      </c>
      <c r="U161" s="2341">
        <f t="shared" si="57"/>
        <v>0.64221314906608806</v>
      </c>
      <c r="V161" s="2470" t="s">
        <v>1579</v>
      </c>
      <c r="W161" s="2470" t="s">
        <v>1580</v>
      </c>
      <c r="X161" s="411"/>
      <c r="Y161" s="3039" t="s">
        <v>1723</v>
      </c>
    </row>
    <row r="162" spans="1:25" ht="67.5">
      <c r="A162" s="3042"/>
      <c r="B162" s="3042"/>
      <c r="C162" s="3042"/>
      <c r="D162" s="3042"/>
      <c r="E162" s="2360" t="s">
        <v>1808</v>
      </c>
      <c r="F162" s="2348"/>
      <c r="G162" s="2334" t="s">
        <v>1809</v>
      </c>
      <c r="H162" s="2404"/>
      <c r="I162" s="2334" t="s">
        <v>1810</v>
      </c>
      <c r="J162" s="2334" t="s">
        <v>1811</v>
      </c>
      <c r="K162" s="2448">
        <v>150</v>
      </c>
      <c r="L162" s="2405">
        <v>0.38</v>
      </c>
      <c r="M162" s="2429">
        <v>65</v>
      </c>
      <c r="N162" s="2339">
        <v>0.19</v>
      </c>
      <c r="O162" s="3049"/>
      <c r="P162" s="2336">
        <v>1790699513</v>
      </c>
      <c r="Q162" s="896">
        <v>1790699513</v>
      </c>
      <c r="R162" s="896">
        <v>1006837998</v>
      </c>
      <c r="S162" s="896">
        <v>621037751</v>
      </c>
      <c r="T162" s="2341">
        <f t="shared" si="57"/>
        <v>0.56225960340672743</v>
      </c>
      <c r="U162" s="2341">
        <f t="shared" si="57"/>
        <v>0.61681993750100794</v>
      </c>
      <c r="V162" s="2348" t="s">
        <v>1579</v>
      </c>
      <c r="W162" s="2470" t="s">
        <v>1580</v>
      </c>
      <c r="X162" s="2390" t="s">
        <v>5087</v>
      </c>
      <c r="Y162" s="3042"/>
    </row>
    <row r="163" spans="1:25" ht="67.5">
      <c r="A163" s="3042"/>
      <c r="B163" s="3042"/>
      <c r="C163" s="3042"/>
      <c r="D163" s="3042"/>
      <c r="E163" s="2360" t="s">
        <v>1812</v>
      </c>
      <c r="F163" s="2348"/>
      <c r="G163" s="2334"/>
      <c r="H163" s="2348"/>
      <c r="I163" s="2334" t="s">
        <v>1813</v>
      </c>
      <c r="J163" s="2334" t="s">
        <v>1814</v>
      </c>
      <c r="K163" s="2448">
        <v>2</v>
      </c>
      <c r="L163" s="2405">
        <v>0.36</v>
      </c>
      <c r="M163" s="2429">
        <v>0</v>
      </c>
      <c r="N163" s="2339">
        <v>0.18</v>
      </c>
      <c r="O163" s="3049"/>
      <c r="P163" s="2336">
        <v>1447918500</v>
      </c>
      <c r="Q163" s="896">
        <v>1447918500</v>
      </c>
      <c r="R163" s="896">
        <v>880818002</v>
      </c>
      <c r="S163" s="896">
        <v>596003749</v>
      </c>
      <c r="T163" s="2341">
        <f t="shared" si="57"/>
        <v>0.60833396492965597</v>
      </c>
      <c r="U163" s="2341">
        <f t="shared" si="57"/>
        <v>0.67664801087932347</v>
      </c>
      <c r="V163" s="2348" t="s">
        <v>1579</v>
      </c>
      <c r="W163" s="2470" t="s">
        <v>1580</v>
      </c>
      <c r="X163" s="2390" t="s">
        <v>5088</v>
      </c>
      <c r="Y163" s="3042"/>
    </row>
    <row r="164" spans="1:25" ht="54">
      <c r="A164" s="3040"/>
      <c r="B164" s="3040"/>
      <c r="C164" s="3040"/>
      <c r="D164" s="3040"/>
      <c r="E164" s="2360" t="s">
        <v>1815</v>
      </c>
      <c r="F164" s="2348"/>
      <c r="G164" s="2345"/>
      <c r="H164" s="2348"/>
      <c r="I164" s="2334" t="s">
        <v>1816</v>
      </c>
      <c r="J164" s="2334" t="s">
        <v>1817</v>
      </c>
      <c r="K164" s="2448">
        <v>1</v>
      </c>
      <c r="L164" s="2405">
        <v>0.26</v>
      </c>
      <c r="M164" s="2429">
        <v>0</v>
      </c>
      <c r="N164" s="2339">
        <v>0.13</v>
      </c>
      <c r="O164" s="3050"/>
      <c r="P164" s="2336">
        <v>27014400</v>
      </c>
      <c r="Q164" s="896">
        <v>27014400</v>
      </c>
      <c r="R164" s="896">
        <v>17475500</v>
      </c>
      <c r="S164" s="896">
        <v>6459000</v>
      </c>
      <c r="T164" s="2341">
        <f t="shared" si="57"/>
        <v>0.64689572968490883</v>
      </c>
      <c r="U164" s="2341">
        <f t="shared" si="57"/>
        <v>0.36960315870790533</v>
      </c>
      <c r="V164" s="2470">
        <v>45323</v>
      </c>
      <c r="W164" s="2470" t="s">
        <v>1580</v>
      </c>
      <c r="X164" s="2390" t="s">
        <v>5089</v>
      </c>
      <c r="Y164" s="3040"/>
    </row>
    <row r="165" spans="1:25" ht="38.25">
      <c r="A165" s="2348"/>
      <c r="B165" s="2344">
        <v>52030020005</v>
      </c>
      <c r="C165" s="2344" t="s">
        <v>103</v>
      </c>
      <c r="D165" s="2327" t="s">
        <v>1818</v>
      </c>
      <c r="E165" s="2503"/>
      <c r="F165" s="2328"/>
      <c r="G165" s="2368"/>
      <c r="H165" s="2355"/>
      <c r="I165" s="2366"/>
      <c r="J165" s="2368"/>
      <c r="K165" s="2466"/>
      <c r="L165" s="2370"/>
      <c r="M165" s="2400"/>
      <c r="N165" s="2401"/>
      <c r="O165" s="2341"/>
      <c r="P165" s="2362"/>
      <c r="Q165" s="2402"/>
      <c r="R165" s="2402"/>
      <c r="S165" s="2402"/>
      <c r="T165" s="2364"/>
      <c r="U165" s="2364"/>
      <c r="V165" s="2373"/>
      <c r="W165" s="2470"/>
      <c r="X165" s="411"/>
      <c r="Y165" s="2348"/>
    </row>
    <row r="166" spans="1:25">
      <c r="A166" s="3043">
        <v>4145</v>
      </c>
      <c r="B166" s="3043"/>
      <c r="C166" s="3043" t="s">
        <v>109</v>
      </c>
      <c r="D166" s="3039" t="s">
        <v>1819</v>
      </c>
      <c r="E166" s="2365" t="s">
        <v>1820</v>
      </c>
      <c r="F166" s="2348"/>
      <c r="G166" s="2360"/>
      <c r="H166" s="2404"/>
      <c r="I166" s="2360"/>
      <c r="J166" s="2345"/>
      <c r="K166" s="2369">
        <f>K167</f>
        <v>26325</v>
      </c>
      <c r="L166" s="2370">
        <f>SUM(L167:L168)</f>
        <v>1</v>
      </c>
      <c r="M166" s="2429"/>
      <c r="N166" s="2403">
        <f>SUM(N167:N168)</f>
        <v>0.5</v>
      </c>
      <c r="O166" s="3048">
        <f>IF(Q166&gt;0,N166,"na")</f>
        <v>0.5</v>
      </c>
      <c r="P166" s="2336">
        <f t="shared" ref="P166:S166" si="58">SUM(P167:P168)</f>
        <v>1785000000</v>
      </c>
      <c r="Q166" s="2340">
        <f t="shared" si="58"/>
        <v>3285000000</v>
      </c>
      <c r="R166" s="2340">
        <f t="shared" si="58"/>
        <v>864744000</v>
      </c>
      <c r="S166" s="2340">
        <f t="shared" si="58"/>
        <v>532346000</v>
      </c>
      <c r="T166" s="2341">
        <f t="shared" ref="T166:U174" si="59">IF(Q166=0,0,R166/Q166)</f>
        <v>0.26324018264840182</v>
      </c>
      <c r="U166" s="2341">
        <f t="shared" si="59"/>
        <v>0.61561109415040749</v>
      </c>
      <c r="V166" s="2470" t="s">
        <v>1579</v>
      </c>
      <c r="W166" s="2470" t="s">
        <v>1580</v>
      </c>
      <c r="X166" s="411"/>
      <c r="Y166" s="3039" t="s">
        <v>1723</v>
      </c>
    </row>
    <row r="167" spans="1:25" ht="67.5">
      <c r="A167" s="3042"/>
      <c r="B167" s="3042"/>
      <c r="C167" s="3042"/>
      <c r="D167" s="3042"/>
      <c r="E167" s="2365" t="s">
        <v>1821</v>
      </c>
      <c r="F167" s="2334"/>
      <c r="G167" s="2334" t="s">
        <v>1822</v>
      </c>
      <c r="H167" s="2335"/>
      <c r="I167" s="2334" t="s">
        <v>1823</v>
      </c>
      <c r="J167" s="2334" t="s">
        <v>1824</v>
      </c>
      <c r="K167" s="2369">
        <v>26325</v>
      </c>
      <c r="L167" s="2370">
        <v>0.85</v>
      </c>
      <c r="M167" s="896">
        <v>12170</v>
      </c>
      <c r="N167" s="2339">
        <v>0.42499999999999999</v>
      </c>
      <c r="O167" s="3049"/>
      <c r="P167" s="2369">
        <v>1405668000</v>
      </c>
      <c r="Q167" s="2340">
        <v>2905668000</v>
      </c>
      <c r="R167" s="2340">
        <v>713652500</v>
      </c>
      <c r="S167" s="2340">
        <v>427913500</v>
      </c>
      <c r="T167" s="2341">
        <f t="shared" si="59"/>
        <v>0.24560703425167638</v>
      </c>
      <c r="U167" s="2341">
        <f t="shared" si="59"/>
        <v>0.59961045466806329</v>
      </c>
      <c r="V167" s="2373">
        <v>45313</v>
      </c>
      <c r="W167" s="2470" t="s">
        <v>1580</v>
      </c>
      <c r="X167" s="2390" t="s">
        <v>5090</v>
      </c>
      <c r="Y167" s="3042"/>
    </row>
    <row r="168" spans="1:25" ht="81">
      <c r="A168" s="3040"/>
      <c r="B168" s="3040"/>
      <c r="C168" s="3040"/>
      <c r="D168" s="3040"/>
      <c r="E168" s="2365" t="s">
        <v>1825</v>
      </c>
      <c r="F168" s="2334"/>
      <c r="G168" s="2345"/>
      <c r="H168" s="2346"/>
      <c r="I168" s="2366" t="s">
        <v>1826</v>
      </c>
      <c r="J168" s="2366" t="s">
        <v>1827</v>
      </c>
      <c r="K168" s="2336">
        <v>13954</v>
      </c>
      <c r="L168" s="2370">
        <v>0.15</v>
      </c>
      <c r="M168" s="896">
        <v>8399</v>
      </c>
      <c r="N168" s="2339">
        <v>7.4999999999999997E-2</v>
      </c>
      <c r="O168" s="3050"/>
      <c r="P168" s="2369">
        <v>379332000</v>
      </c>
      <c r="Q168" s="2340">
        <v>379332000</v>
      </c>
      <c r="R168" s="2340">
        <v>151091500</v>
      </c>
      <c r="S168" s="2340">
        <v>104432500</v>
      </c>
      <c r="T168" s="2341">
        <f t="shared" si="59"/>
        <v>0.39830939651808972</v>
      </c>
      <c r="U168" s="2341">
        <f t="shared" si="59"/>
        <v>0.69118712832952223</v>
      </c>
      <c r="V168" s="2373">
        <v>45313</v>
      </c>
      <c r="W168" s="2470" t="s">
        <v>1580</v>
      </c>
      <c r="X168" s="2390" t="s">
        <v>5091</v>
      </c>
      <c r="Y168" s="3040"/>
    </row>
    <row r="169" spans="1:25">
      <c r="A169" s="3043">
        <v>4145</v>
      </c>
      <c r="B169" s="3058"/>
      <c r="C169" s="3043" t="s">
        <v>109</v>
      </c>
      <c r="D169" s="3039" t="s">
        <v>1828</v>
      </c>
      <c r="E169" s="2365" t="s">
        <v>1829</v>
      </c>
      <c r="F169" s="2348"/>
      <c r="G169" s="2360"/>
      <c r="H169" s="2431"/>
      <c r="I169" s="2504"/>
      <c r="J169" s="2345"/>
      <c r="K169" s="2362"/>
      <c r="L169" s="2370"/>
      <c r="M169" s="896"/>
      <c r="N169" s="2339">
        <f>SUM(N170:N174)</f>
        <v>0.6110000000000001</v>
      </c>
      <c r="O169" s="3048">
        <f>IF(Q169&gt;0,N169,"na")</f>
        <v>0.6110000000000001</v>
      </c>
      <c r="P169" s="2336">
        <f t="shared" ref="P169:S169" si="60">SUM(P170:P174)</f>
        <v>9393333466</v>
      </c>
      <c r="Q169" s="2340">
        <f t="shared" si="60"/>
        <v>10693333466</v>
      </c>
      <c r="R169" s="2340">
        <f t="shared" si="60"/>
        <v>5467340635</v>
      </c>
      <c r="S169" s="2340">
        <f t="shared" si="60"/>
        <v>2521458501</v>
      </c>
      <c r="T169" s="2341">
        <f t="shared" si="59"/>
        <v>0.51128496575774884</v>
      </c>
      <c r="U169" s="2341">
        <f t="shared" si="59"/>
        <v>0.46118555058715488</v>
      </c>
      <c r="V169" s="2470" t="s">
        <v>1579</v>
      </c>
      <c r="W169" s="2470" t="s">
        <v>1580</v>
      </c>
      <c r="X169" s="411"/>
      <c r="Y169" s="3039" t="s">
        <v>1735</v>
      </c>
    </row>
    <row r="170" spans="1:25" ht="54">
      <c r="A170" s="3042"/>
      <c r="B170" s="3042"/>
      <c r="C170" s="3042"/>
      <c r="D170" s="3042"/>
      <c r="E170" s="2365" t="s">
        <v>1830</v>
      </c>
      <c r="F170" s="2348"/>
      <c r="G170" s="2345"/>
      <c r="H170" s="2345"/>
      <c r="I170" s="2407" t="s">
        <v>1831</v>
      </c>
      <c r="J170" s="2407" t="s">
        <v>107</v>
      </c>
      <c r="K170" s="2369">
        <v>8</v>
      </c>
      <c r="L170" s="2370">
        <v>0.28999999999999998</v>
      </c>
      <c r="M170" s="896">
        <v>8</v>
      </c>
      <c r="N170" s="2339">
        <v>0.25</v>
      </c>
      <c r="O170" s="3049"/>
      <c r="P170" s="2336">
        <v>2190775588</v>
      </c>
      <c r="Q170" s="2340">
        <v>2190775588</v>
      </c>
      <c r="R170" s="2340">
        <v>1569987296</v>
      </c>
      <c r="S170" s="2340">
        <v>796438598</v>
      </c>
      <c r="T170" s="2341">
        <f t="shared" si="59"/>
        <v>0.71663537999949634</v>
      </c>
      <c r="U170" s="2341">
        <f t="shared" si="59"/>
        <v>0.5072898360573741</v>
      </c>
      <c r="V170" s="2373">
        <v>45313</v>
      </c>
      <c r="W170" s="2470" t="s">
        <v>1580</v>
      </c>
      <c r="X170" s="2390" t="s">
        <v>5092</v>
      </c>
      <c r="Y170" s="3042"/>
    </row>
    <row r="171" spans="1:25" ht="324">
      <c r="A171" s="3042"/>
      <c r="B171" s="3042"/>
      <c r="C171" s="3042"/>
      <c r="D171" s="3042"/>
      <c r="E171" s="2365" t="s">
        <v>1832</v>
      </c>
      <c r="F171" s="2348"/>
      <c r="G171" s="2345"/>
      <c r="H171" s="2362"/>
      <c r="I171" s="2407" t="s">
        <v>1833</v>
      </c>
      <c r="J171" s="2407" t="s">
        <v>1834</v>
      </c>
      <c r="K171" s="2369">
        <v>18</v>
      </c>
      <c r="L171" s="2370">
        <v>0.17</v>
      </c>
      <c r="M171" s="896">
        <v>0</v>
      </c>
      <c r="N171" s="2339">
        <v>0.11</v>
      </c>
      <c r="O171" s="3049"/>
      <c r="P171" s="2336">
        <v>2866685238</v>
      </c>
      <c r="Q171" s="2340">
        <v>3598572968</v>
      </c>
      <c r="R171" s="2340">
        <v>1918277281</v>
      </c>
      <c r="S171" s="2340">
        <v>924191402</v>
      </c>
      <c r="T171" s="2341">
        <f t="shared" si="59"/>
        <v>0.53306610649780217</v>
      </c>
      <c r="U171" s="2341">
        <f t="shared" si="59"/>
        <v>0.48178196716077354</v>
      </c>
      <c r="V171" s="2373">
        <v>45313</v>
      </c>
      <c r="W171" s="2470" t="s">
        <v>1580</v>
      </c>
      <c r="X171" s="2505" t="s">
        <v>5093</v>
      </c>
      <c r="Y171" s="3042"/>
    </row>
    <row r="172" spans="1:25" ht="67.5">
      <c r="A172" s="3042"/>
      <c r="B172" s="3042"/>
      <c r="C172" s="3042"/>
      <c r="D172" s="3042"/>
      <c r="E172" s="2365" t="s">
        <v>1835</v>
      </c>
      <c r="F172" s="2348"/>
      <c r="G172" s="2334" t="s">
        <v>1822</v>
      </c>
      <c r="H172" s="2335"/>
      <c r="I172" s="2407" t="s">
        <v>1836</v>
      </c>
      <c r="J172" s="2407" t="s">
        <v>1837</v>
      </c>
      <c r="K172" s="2336">
        <v>2000</v>
      </c>
      <c r="L172" s="2370">
        <v>0.26</v>
      </c>
      <c r="M172" s="2429">
        <v>1394</v>
      </c>
      <c r="N172" s="2403">
        <v>0.18</v>
      </c>
      <c r="O172" s="3049"/>
      <c r="P172" s="2336">
        <v>1274874119</v>
      </c>
      <c r="Q172" s="2340">
        <v>1274874119</v>
      </c>
      <c r="R172" s="2340">
        <v>1013506501</v>
      </c>
      <c r="S172" s="2340">
        <v>581319501</v>
      </c>
      <c r="T172" s="2341">
        <f t="shared" si="59"/>
        <v>0.79498554868694449</v>
      </c>
      <c r="U172" s="2341">
        <f t="shared" si="59"/>
        <v>0.57357254287607184</v>
      </c>
      <c r="V172" s="2373">
        <v>45313</v>
      </c>
      <c r="W172" s="2470" t="s">
        <v>1580</v>
      </c>
      <c r="X172" s="411" t="s">
        <v>5094</v>
      </c>
      <c r="Y172" s="3042"/>
    </row>
    <row r="173" spans="1:25" ht="300">
      <c r="A173" s="3042"/>
      <c r="B173" s="3042"/>
      <c r="C173" s="3042"/>
      <c r="D173" s="3042"/>
      <c r="E173" s="2365" t="s">
        <v>1838</v>
      </c>
      <c r="F173" s="2348"/>
      <c r="G173" s="2345"/>
      <c r="H173" s="2362"/>
      <c r="I173" s="2407" t="s">
        <v>1839</v>
      </c>
      <c r="J173" s="2407" t="s">
        <v>1840</v>
      </c>
      <c r="K173" s="2369">
        <v>20</v>
      </c>
      <c r="L173" s="2370">
        <v>0.2</v>
      </c>
      <c r="M173" s="2429">
        <v>0</v>
      </c>
      <c r="N173" s="2339">
        <v>0.03</v>
      </c>
      <c r="O173" s="3049"/>
      <c r="P173" s="2336">
        <v>2493884224</v>
      </c>
      <c r="Q173" s="2340">
        <v>2493884224</v>
      </c>
      <c r="R173" s="2340">
        <v>770759129</v>
      </c>
      <c r="S173" s="2340">
        <v>163911524</v>
      </c>
      <c r="T173" s="2341">
        <f t="shared" si="59"/>
        <v>0.30905970757686624</v>
      </c>
      <c r="U173" s="2341">
        <f t="shared" si="59"/>
        <v>0.21266244904898168</v>
      </c>
      <c r="V173" s="2373">
        <v>45313</v>
      </c>
      <c r="W173" s="2470" t="s">
        <v>1580</v>
      </c>
      <c r="X173" s="2506" t="s">
        <v>5095</v>
      </c>
      <c r="Y173" s="3042"/>
    </row>
    <row r="174" spans="1:25" ht="121.5">
      <c r="A174" s="3040"/>
      <c r="B174" s="3040"/>
      <c r="C174" s="3040"/>
      <c r="D174" s="3040"/>
      <c r="E174" s="2365" t="s">
        <v>1841</v>
      </c>
      <c r="F174" s="2334"/>
      <c r="G174" s="2345"/>
      <c r="H174" s="2362"/>
      <c r="I174" s="2371" t="s">
        <v>1842</v>
      </c>
      <c r="J174" s="2371" t="s">
        <v>1843</v>
      </c>
      <c r="K174" s="2336">
        <v>1</v>
      </c>
      <c r="L174" s="2370">
        <v>0.08</v>
      </c>
      <c r="M174" s="896">
        <v>0</v>
      </c>
      <c r="N174" s="2339">
        <v>4.1000000000000002E-2</v>
      </c>
      <c r="O174" s="3059"/>
      <c r="P174" s="2369">
        <v>567114297</v>
      </c>
      <c r="Q174" s="2340">
        <v>1135226567</v>
      </c>
      <c r="R174" s="2340">
        <v>194810428</v>
      </c>
      <c r="S174" s="2340">
        <v>55597476</v>
      </c>
      <c r="T174" s="2341">
        <f t="shared" si="59"/>
        <v>0.17160488810160132</v>
      </c>
      <c r="U174" s="2341">
        <f t="shared" si="59"/>
        <v>0.28539271008634098</v>
      </c>
      <c r="V174" s="2373">
        <v>45313</v>
      </c>
      <c r="W174" s="2470" t="s">
        <v>1580</v>
      </c>
      <c r="X174" s="2390" t="s">
        <v>5096</v>
      </c>
      <c r="Y174" s="3040"/>
    </row>
    <row r="175" spans="1:25">
      <c r="A175" s="2348"/>
      <c r="B175" s="2358">
        <v>52030020006</v>
      </c>
      <c r="C175" s="2344" t="s">
        <v>103</v>
      </c>
      <c r="D175" s="2327" t="s">
        <v>1844</v>
      </c>
      <c r="E175" s="2503"/>
      <c r="F175" s="2328"/>
      <c r="G175" s="2366"/>
      <c r="H175" s="2392"/>
      <c r="I175" s="2366"/>
      <c r="J175" s="2368"/>
      <c r="K175" s="2507"/>
      <c r="L175" s="2370"/>
      <c r="M175" s="2429"/>
      <c r="N175" s="2339"/>
      <c r="O175" s="2508"/>
      <c r="P175" s="2362"/>
      <c r="Q175" s="896"/>
      <c r="R175" s="2406"/>
      <c r="S175" s="2406"/>
      <c r="T175" s="2341"/>
      <c r="U175" s="2341"/>
      <c r="V175" s="2388"/>
      <c r="W175" s="2470"/>
      <c r="X175" s="411"/>
      <c r="Y175" s="2348"/>
    </row>
    <row r="176" spans="1:25">
      <c r="A176" s="3043">
        <v>4145</v>
      </c>
      <c r="B176" s="3044"/>
      <c r="C176" s="3043" t="s">
        <v>109</v>
      </c>
      <c r="D176" s="3039" t="s">
        <v>1845</v>
      </c>
      <c r="E176" s="2365" t="s">
        <v>1846</v>
      </c>
      <c r="F176" s="2348"/>
      <c r="G176" s="2360"/>
      <c r="H176" s="2509"/>
      <c r="I176" s="2360"/>
      <c r="J176" s="2345"/>
      <c r="K176" s="2416">
        <f t="shared" ref="K176:L176" si="61">K177</f>
        <v>1</v>
      </c>
      <c r="L176" s="2370">
        <f t="shared" si="61"/>
        <v>1</v>
      </c>
      <c r="M176" s="2396"/>
      <c r="N176" s="2370">
        <f>+N177</f>
        <v>0.04</v>
      </c>
      <c r="O176" s="3048">
        <f>IF(Q176&gt;0,N176,"na")</f>
        <v>0.04</v>
      </c>
      <c r="P176" s="2336">
        <f t="shared" ref="P176:S176" si="62">+P177</f>
        <v>200000000</v>
      </c>
      <c r="Q176" s="896">
        <f t="shared" si="62"/>
        <v>738732261</v>
      </c>
      <c r="R176" s="896">
        <f t="shared" si="62"/>
        <v>635934261</v>
      </c>
      <c r="S176" s="896">
        <f t="shared" si="62"/>
        <v>64992000</v>
      </c>
      <c r="T176" s="2341">
        <f t="shared" ref="T176:U177" si="63">IF(Q176=0,0,R176/Q176)</f>
        <v>0.86084538955853185</v>
      </c>
      <c r="U176" s="2341">
        <f t="shared" si="63"/>
        <v>0.1021992428868367</v>
      </c>
      <c r="V176" s="2448" t="s">
        <v>1579</v>
      </c>
      <c r="W176" s="2470" t="s">
        <v>1580</v>
      </c>
      <c r="X176" s="411"/>
      <c r="Y176" s="3039" t="s">
        <v>1518</v>
      </c>
    </row>
    <row r="177" spans="1:25" ht="108">
      <c r="A177" s="3040"/>
      <c r="B177" s="3040"/>
      <c r="C177" s="3040"/>
      <c r="D177" s="3040"/>
      <c r="E177" s="2365" t="s">
        <v>1847</v>
      </c>
      <c r="F177" s="2366"/>
      <c r="G177" s="2334" t="s">
        <v>1844</v>
      </c>
      <c r="H177" s="2509"/>
      <c r="I177" s="2371" t="s">
        <v>1848</v>
      </c>
      <c r="J177" s="2371" t="s">
        <v>1677</v>
      </c>
      <c r="K177" s="2416">
        <v>1</v>
      </c>
      <c r="L177" s="2421">
        <v>1</v>
      </c>
      <c r="M177" s="896">
        <v>0</v>
      </c>
      <c r="N177" s="2339">
        <v>0.04</v>
      </c>
      <c r="O177" s="3050"/>
      <c r="P177" s="2369">
        <v>200000000</v>
      </c>
      <c r="Q177" s="896">
        <v>738732261</v>
      </c>
      <c r="R177" s="896">
        <v>635934261</v>
      </c>
      <c r="S177" s="896">
        <v>64992000</v>
      </c>
      <c r="T177" s="2341">
        <f t="shared" si="63"/>
        <v>0.86084538955853185</v>
      </c>
      <c r="U177" s="2341">
        <f t="shared" si="63"/>
        <v>0.1021992428868367</v>
      </c>
      <c r="V177" s="2470">
        <v>45352</v>
      </c>
      <c r="W177" s="2470" t="s">
        <v>1580</v>
      </c>
      <c r="X177" s="2390" t="s">
        <v>5097</v>
      </c>
      <c r="Y177" s="3040"/>
    </row>
    <row r="178" spans="1:25">
      <c r="A178" s="2374"/>
      <c r="B178" s="2349">
        <v>5203003</v>
      </c>
      <c r="C178" s="2374" t="s">
        <v>102</v>
      </c>
      <c r="D178" s="2317" t="s">
        <v>1849</v>
      </c>
      <c r="E178" s="2510"/>
      <c r="F178" s="2511"/>
      <c r="G178" s="2511"/>
      <c r="H178" s="2511"/>
      <c r="I178" s="2511"/>
      <c r="J178" s="2512"/>
      <c r="K178" s="2513"/>
      <c r="L178" s="2514"/>
      <c r="M178" s="2415"/>
      <c r="N178" s="2415"/>
      <c r="O178" s="2356"/>
      <c r="P178" s="2515"/>
      <c r="Q178" s="2516"/>
      <c r="R178" s="2516"/>
      <c r="S178" s="2516"/>
      <c r="T178" s="2356"/>
      <c r="U178" s="2356"/>
      <c r="V178" s="2517"/>
      <c r="W178" s="2517"/>
      <c r="X178" s="2494"/>
      <c r="Y178" s="2374"/>
    </row>
    <row r="179" spans="1:25" ht="51">
      <c r="A179" s="2344"/>
      <c r="B179" s="2358">
        <v>52030030001</v>
      </c>
      <c r="C179" s="2344" t="s">
        <v>103</v>
      </c>
      <c r="D179" s="2327" t="s">
        <v>1850</v>
      </c>
      <c r="E179" s="2503"/>
      <c r="F179" s="2477"/>
      <c r="G179" s="2392"/>
      <c r="H179" s="2477"/>
      <c r="I179" s="2392"/>
      <c r="J179" s="2518"/>
      <c r="K179" s="2519"/>
      <c r="L179" s="2520"/>
      <c r="M179" s="2330"/>
      <c r="N179" s="2331"/>
      <c r="O179" s="2364"/>
      <c r="P179" s="2521"/>
      <c r="Q179" s="2332"/>
      <c r="R179" s="2498"/>
      <c r="S179" s="2498"/>
      <c r="T179" s="2364"/>
      <c r="U179" s="2364"/>
      <c r="V179" s="2522"/>
      <c r="W179" s="2522"/>
      <c r="X179" s="403"/>
      <c r="Y179" s="2344"/>
    </row>
    <row r="180" spans="1:25">
      <c r="A180" s="3043">
        <v>4145</v>
      </c>
      <c r="B180" s="3044"/>
      <c r="C180" s="3043" t="s">
        <v>109</v>
      </c>
      <c r="D180" s="3039" t="s">
        <v>1851</v>
      </c>
      <c r="E180" s="2365" t="s">
        <v>1852</v>
      </c>
      <c r="F180" s="2348"/>
      <c r="G180" s="2389"/>
      <c r="H180" s="2367"/>
      <c r="I180" s="2389"/>
      <c r="J180" s="2389"/>
      <c r="K180" s="2369">
        <f>+K181</f>
        <v>7</v>
      </c>
      <c r="L180" s="2370">
        <f>SUM(L181:L186)</f>
        <v>1</v>
      </c>
      <c r="M180" s="2338"/>
      <c r="N180" s="2339">
        <f>SUM(N181:N186)</f>
        <v>0.21299999999999999</v>
      </c>
      <c r="O180" s="3060">
        <f>IF(Q180&gt;0,N180,"na")</f>
        <v>0.21299999999999999</v>
      </c>
      <c r="P180" s="2336">
        <f t="shared" ref="P180:S180" si="64">SUM(P181:P186)</f>
        <v>617904272</v>
      </c>
      <c r="Q180" s="896">
        <f t="shared" si="64"/>
        <v>617904272</v>
      </c>
      <c r="R180" s="2406">
        <f t="shared" si="64"/>
        <v>271217000</v>
      </c>
      <c r="S180" s="2406">
        <f t="shared" si="64"/>
        <v>166192500</v>
      </c>
      <c r="T180" s="2341">
        <f t="shared" ref="T180:U186" si="65">IF(Q180=0,0,R180/Q180)</f>
        <v>0.43893044973154027</v>
      </c>
      <c r="U180" s="2341">
        <f t="shared" si="65"/>
        <v>0.61276579270473464</v>
      </c>
      <c r="V180" s="2470" t="s">
        <v>1579</v>
      </c>
      <c r="W180" s="2470" t="s">
        <v>1580</v>
      </c>
      <c r="X180" s="411"/>
      <c r="Y180" s="3039" t="s">
        <v>1518</v>
      </c>
    </row>
    <row r="181" spans="1:25" ht="108">
      <c r="A181" s="3042"/>
      <c r="B181" s="3042"/>
      <c r="C181" s="3042"/>
      <c r="D181" s="3042"/>
      <c r="E181" s="2365" t="s">
        <v>1853</v>
      </c>
      <c r="F181" s="2366"/>
      <c r="G181" s="2334" t="s">
        <v>1854</v>
      </c>
      <c r="H181" s="2367"/>
      <c r="I181" s="2456" t="s">
        <v>1855</v>
      </c>
      <c r="J181" s="2407" t="s">
        <v>1856</v>
      </c>
      <c r="K181" s="2336">
        <v>7</v>
      </c>
      <c r="L181" s="2421">
        <v>0.45</v>
      </c>
      <c r="M181" s="2338">
        <v>1</v>
      </c>
      <c r="N181" s="2339">
        <v>0.14000000000000001</v>
      </c>
      <c r="O181" s="3049"/>
      <c r="P181" s="2369">
        <v>275935800</v>
      </c>
      <c r="Q181" s="896">
        <v>275935800</v>
      </c>
      <c r="R181" s="896">
        <v>141874600</v>
      </c>
      <c r="S181" s="896">
        <v>91939300</v>
      </c>
      <c r="T181" s="2341">
        <f t="shared" si="65"/>
        <v>0.51415800341963602</v>
      </c>
      <c r="U181" s="2341">
        <f t="shared" si="65"/>
        <v>0.64803213542099858</v>
      </c>
      <c r="V181" s="2373">
        <v>45337</v>
      </c>
      <c r="W181" s="2373">
        <v>45657</v>
      </c>
      <c r="X181" s="2523" t="s">
        <v>5098</v>
      </c>
      <c r="Y181" s="3042"/>
    </row>
    <row r="182" spans="1:25" ht="81">
      <c r="A182" s="3042"/>
      <c r="B182" s="3042"/>
      <c r="C182" s="3042"/>
      <c r="D182" s="3042"/>
      <c r="E182" s="2365" t="s">
        <v>1857</v>
      </c>
      <c r="F182" s="2366"/>
      <c r="G182" s="2389"/>
      <c r="H182" s="2346"/>
      <c r="I182" s="2456" t="s">
        <v>1858</v>
      </c>
      <c r="J182" s="2407" t="s">
        <v>1859</v>
      </c>
      <c r="K182" s="2336">
        <v>3500</v>
      </c>
      <c r="L182" s="2421">
        <v>0.2</v>
      </c>
      <c r="M182" s="2338">
        <v>330</v>
      </c>
      <c r="N182" s="2339">
        <v>0.03</v>
      </c>
      <c r="O182" s="3049"/>
      <c r="P182" s="2369">
        <v>126672000</v>
      </c>
      <c r="Q182" s="896">
        <v>126672000</v>
      </c>
      <c r="R182" s="896">
        <v>59774000</v>
      </c>
      <c r="S182" s="896">
        <v>24445500</v>
      </c>
      <c r="T182" s="2341">
        <f t="shared" si="65"/>
        <v>0.47188013136288998</v>
      </c>
      <c r="U182" s="2341">
        <f t="shared" si="65"/>
        <v>0.40896543647739819</v>
      </c>
      <c r="V182" s="2373">
        <v>45337</v>
      </c>
      <c r="W182" s="2373">
        <v>45657</v>
      </c>
      <c r="X182" s="2523" t="s">
        <v>5099</v>
      </c>
      <c r="Y182" s="3042"/>
    </row>
    <row r="183" spans="1:25" ht="40.5">
      <c r="A183" s="3042"/>
      <c r="B183" s="3042"/>
      <c r="C183" s="3042"/>
      <c r="D183" s="3042"/>
      <c r="E183" s="2365" t="s">
        <v>1860</v>
      </c>
      <c r="F183" s="2366"/>
      <c r="G183" s="2389"/>
      <c r="H183" s="2346"/>
      <c r="I183" s="2456" t="s">
        <v>1861</v>
      </c>
      <c r="J183" s="2407" t="s">
        <v>106</v>
      </c>
      <c r="K183" s="2336">
        <v>5950</v>
      </c>
      <c r="L183" s="2421">
        <v>0.08</v>
      </c>
      <c r="M183" s="2181">
        <v>0</v>
      </c>
      <c r="N183" s="2339">
        <v>0</v>
      </c>
      <c r="O183" s="3049"/>
      <c r="P183" s="2369">
        <v>49944500</v>
      </c>
      <c r="Q183" s="896">
        <v>49944500</v>
      </c>
      <c r="R183" s="896">
        <v>0</v>
      </c>
      <c r="S183" s="896">
        <v>0</v>
      </c>
      <c r="T183" s="2341">
        <f t="shared" si="65"/>
        <v>0</v>
      </c>
      <c r="U183" s="2341">
        <f t="shared" si="65"/>
        <v>0</v>
      </c>
      <c r="V183" s="2373">
        <v>45337</v>
      </c>
      <c r="W183" s="2373">
        <v>45657</v>
      </c>
      <c r="X183" s="2523"/>
      <c r="Y183" s="3042"/>
    </row>
    <row r="184" spans="1:25" ht="81">
      <c r="A184" s="3042"/>
      <c r="B184" s="3042"/>
      <c r="C184" s="3042"/>
      <c r="D184" s="3042"/>
      <c r="E184" s="2365" t="s">
        <v>1862</v>
      </c>
      <c r="F184" s="2366"/>
      <c r="G184" s="2389"/>
      <c r="H184" s="2346"/>
      <c r="I184" s="2456" t="s">
        <v>1863</v>
      </c>
      <c r="J184" s="2407" t="s">
        <v>1677</v>
      </c>
      <c r="K184" s="2336">
        <v>35</v>
      </c>
      <c r="L184" s="2421">
        <v>0.1</v>
      </c>
      <c r="M184" s="2181">
        <v>3</v>
      </c>
      <c r="N184" s="2339">
        <v>1.7999999999999999E-2</v>
      </c>
      <c r="O184" s="3049"/>
      <c r="P184" s="2369">
        <v>63756000</v>
      </c>
      <c r="Q184" s="896">
        <v>63756000</v>
      </c>
      <c r="R184" s="896">
        <v>37562000</v>
      </c>
      <c r="S184" s="896">
        <v>26830000</v>
      </c>
      <c r="T184" s="2341">
        <f t="shared" si="65"/>
        <v>0.58915239350021964</v>
      </c>
      <c r="U184" s="2341">
        <f t="shared" si="65"/>
        <v>0.7142857142857143</v>
      </c>
      <c r="V184" s="2373">
        <v>45337</v>
      </c>
      <c r="W184" s="2373">
        <v>45657</v>
      </c>
      <c r="X184" s="2523" t="s">
        <v>5100</v>
      </c>
      <c r="Y184" s="3042"/>
    </row>
    <row r="185" spans="1:25" ht="54">
      <c r="A185" s="3042"/>
      <c r="B185" s="3042"/>
      <c r="C185" s="3042"/>
      <c r="D185" s="3042"/>
      <c r="E185" s="2365" t="s">
        <v>1864</v>
      </c>
      <c r="F185" s="2366"/>
      <c r="G185" s="2389"/>
      <c r="H185" s="2346"/>
      <c r="I185" s="2456" t="s">
        <v>1865</v>
      </c>
      <c r="J185" s="2407" t="s">
        <v>1599</v>
      </c>
      <c r="K185" s="2336">
        <v>6</v>
      </c>
      <c r="L185" s="2421">
        <v>0.1</v>
      </c>
      <c r="M185" s="2406">
        <v>1</v>
      </c>
      <c r="N185" s="2339">
        <v>2.5000000000000001E-2</v>
      </c>
      <c r="O185" s="3049"/>
      <c r="P185" s="2369">
        <v>60782400</v>
      </c>
      <c r="Q185" s="896">
        <v>60782400</v>
      </c>
      <c r="R185" s="896">
        <v>32006400</v>
      </c>
      <c r="S185" s="896">
        <v>22977700</v>
      </c>
      <c r="T185" s="2341">
        <f t="shared" si="65"/>
        <v>0.52657348179736241</v>
      </c>
      <c r="U185" s="2341">
        <f t="shared" si="65"/>
        <v>0.71790954309138177</v>
      </c>
      <c r="V185" s="2373">
        <v>45337</v>
      </c>
      <c r="W185" s="2373">
        <v>45657</v>
      </c>
      <c r="X185" s="2523" t="s">
        <v>5101</v>
      </c>
      <c r="Y185" s="3042"/>
    </row>
    <row r="186" spans="1:25" ht="94.5">
      <c r="A186" s="3040"/>
      <c r="B186" s="3040"/>
      <c r="C186" s="3040"/>
      <c r="D186" s="3040"/>
      <c r="E186" s="2365" t="s">
        <v>1866</v>
      </c>
      <c r="F186" s="2366"/>
      <c r="G186" s="2389"/>
      <c r="H186" s="2346"/>
      <c r="I186" s="2456" t="s">
        <v>1867</v>
      </c>
      <c r="J186" s="2407" t="s">
        <v>206</v>
      </c>
      <c r="K186" s="2336">
        <v>1</v>
      </c>
      <c r="L186" s="2421">
        <v>7.0000000000000007E-2</v>
      </c>
      <c r="M186" s="424">
        <v>0</v>
      </c>
      <c r="N186" s="2339">
        <v>0</v>
      </c>
      <c r="O186" s="3050"/>
      <c r="P186" s="2369">
        <v>40813572</v>
      </c>
      <c r="Q186" s="896">
        <v>40813572</v>
      </c>
      <c r="R186" s="896">
        <v>0</v>
      </c>
      <c r="S186" s="896">
        <v>0</v>
      </c>
      <c r="T186" s="2341">
        <f t="shared" si="65"/>
        <v>0</v>
      </c>
      <c r="U186" s="2341">
        <f t="shared" si="65"/>
        <v>0</v>
      </c>
      <c r="V186" s="2373">
        <v>45337</v>
      </c>
      <c r="W186" s="2373">
        <v>45657</v>
      </c>
      <c r="X186" s="411"/>
      <c r="Y186" s="3040"/>
    </row>
    <row r="187" spans="1:25">
      <c r="A187" s="2524"/>
      <c r="B187" s="2525"/>
      <c r="C187" s="2524"/>
      <c r="D187" s="2526"/>
      <c r="E187" s="2350"/>
      <c r="F187" s="2366"/>
      <c r="G187" s="2389"/>
      <c r="H187" s="2346"/>
      <c r="I187" s="2456"/>
      <c r="J187" s="2407"/>
      <c r="K187" s="2336"/>
      <c r="L187" s="2421"/>
      <c r="M187" s="2400"/>
      <c r="N187" s="2339"/>
      <c r="O187" s="2527"/>
      <c r="P187" s="2369"/>
      <c r="Q187" s="896"/>
      <c r="R187" s="896"/>
      <c r="S187" s="896"/>
      <c r="T187" s="2364"/>
      <c r="U187" s="2364"/>
      <c r="V187" s="2373"/>
      <c r="W187" s="2373"/>
      <c r="X187" s="411"/>
      <c r="Y187" s="2526"/>
    </row>
    <row r="188" spans="1:25">
      <c r="A188" s="3043">
        <v>4145</v>
      </c>
      <c r="B188" s="3044"/>
      <c r="C188" s="3043" t="s">
        <v>109</v>
      </c>
      <c r="D188" s="3039" t="s">
        <v>1868</v>
      </c>
      <c r="E188" s="2365" t="s">
        <v>1869</v>
      </c>
      <c r="F188" s="2348"/>
      <c r="G188" s="2389"/>
      <c r="H188" s="2367"/>
      <c r="I188" s="2389"/>
      <c r="J188" s="2389"/>
      <c r="K188" s="2369">
        <f t="shared" ref="K188:L188" si="66">+K189</f>
        <v>3</v>
      </c>
      <c r="L188" s="2370">
        <f t="shared" si="66"/>
        <v>1</v>
      </c>
      <c r="M188" s="2181"/>
      <c r="N188" s="2410">
        <f>+N189</f>
        <v>0.1</v>
      </c>
      <c r="O188" s="3048">
        <f>IF(Q188&gt;0,N188,"na")</f>
        <v>0.1</v>
      </c>
      <c r="P188" s="2336">
        <f t="shared" ref="P188:S188" si="67">+P189</f>
        <v>115762501</v>
      </c>
      <c r="Q188" s="2340">
        <f t="shared" si="67"/>
        <v>115762501</v>
      </c>
      <c r="R188" s="2340">
        <f t="shared" si="67"/>
        <v>115762501</v>
      </c>
      <c r="S188" s="2340">
        <f t="shared" si="67"/>
        <v>0</v>
      </c>
      <c r="T188" s="2341">
        <f t="shared" ref="T188:U189" si="68">IF(Q188=0,0,R188/Q188)</f>
        <v>1</v>
      </c>
      <c r="U188" s="2341">
        <f t="shared" si="68"/>
        <v>0</v>
      </c>
      <c r="V188" s="2373" t="s">
        <v>5040</v>
      </c>
      <c r="W188" s="2448" t="s">
        <v>1580</v>
      </c>
      <c r="X188" s="411"/>
      <c r="Y188" s="3039" t="s">
        <v>1518</v>
      </c>
    </row>
    <row r="189" spans="1:25" ht="94.5">
      <c r="A189" s="3040"/>
      <c r="B189" s="3040"/>
      <c r="C189" s="3040"/>
      <c r="D189" s="3040"/>
      <c r="E189" s="2365" t="s">
        <v>1870</v>
      </c>
      <c r="F189" s="2366"/>
      <c r="G189" s="2334" t="s">
        <v>1871</v>
      </c>
      <c r="H189" s="2367"/>
      <c r="I189" s="2456" t="s">
        <v>1872</v>
      </c>
      <c r="J189" s="2334" t="s">
        <v>1856</v>
      </c>
      <c r="K189" s="2336">
        <v>3</v>
      </c>
      <c r="L189" s="2421">
        <v>1</v>
      </c>
      <c r="M189" s="2406">
        <v>0</v>
      </c>
      <c r="N189" s="2339">
        <v>0.1</v>
      </c>
      <c r="O189" s="3050"/>
      <c r="P189" s="2369">
        <v>115762501</v>
      </c>
      <c r="Q189" s="896">
        <v>115762501</v>
      </c>
      <c r="R189" s="896">
        <v>115762501</v>
      </c>
      <c r="S189" s="2406">
        <v>0</v>
      </c>
      <c r="T189" s="2341">
        <f t="shared" si="68"/>
        <v>1</v>
      </c>
      <c r="U189" s="2341">
        <f t="shared" si="68"/>
        <v>0</v>
      </c>
      <c r="V189" s="2373">
        <v>45446</v>
      </c>
      <c r="W189" s="2470">
        <v>45657</v>
      </c>
      <c r="X189" s="411" t="s">
        <v>5102</v>
      </c>
      <c r="Y189" s="3040"/>
    </row>
    <row r="190" spans="1:25" ht="25.5">
      <c r="A190" s="2344"/>
      <c r="B190" s="2358">
        <v>52030030002</v>
      </c>
      <c r="C190" s="2344" t="s">
        <v>103</v>
      </c>
      <c r="D190" s="2327" t="s">
        <v>1873</v>
      </c>
      <c r="E190" s="2503"/>
      <c r="F190" s="2328"/>
      <c r="G190" s="2423"/>
      <c r="H190" s="2423"/>
      <c r="I190" s="2423"/>
      <c r="J190" s="2423"/>
      <c r="K190" s="2518"/>
      <c r="L190" s="2520"/>
      <c r="M190" s="2498"/>
      <c r="N190" s="2331"/>
      <c r="O190" s="480"/>
      <c r="P190" s="2521"/>
      <c r="Q190" s="2332"/>
      <c r="R190" s="2332"/>
      <c r="S190" s="2332"/>
      <c r="T190" s="2364"/>
      <c r="U190" s="2364"/>
      <c r="V190" s="2528"/>
      <c r="W190" s="2529"/>
      <c r="X190" s="403"/>
      <c r="Y190" s="2344"/>
    </row>
    <row r="191" spans="1:25">
      <c r="A191" s="3043">
        <v>4145</v>
      </c>
      <c r="B191" s="3044"/>
      <c r="C191" s="3043" t="s">
        <v>109</v>
      </c>
      <c r="D191" s="3039" t="s">
        <v>1874</v>
      </c>
      <c r="E191" s="2365" t="s">
        <v>1875</v>
      </c>
      <c r="F191" s="2348"/>
      <c r="G191" s="2360"/>
      <c r="H191" s="2509"/>
      <c r="I191" s="2360"/>
      <c r="J191" s="2345"/>
      <c r="K191" s="2369">
        <f>SUM(K192+K194)</f>
        <v>26</v>
      </c>
      <c r="L191" s="2370">
        <f>SUM(L192:L195)</f>
        <v>1</v>
      </c>
      <c r="M191" s="2406"/>
      <c r="N191" s="2339">
        <f>SUM(N192:N195)</f>
        <v>0.43999999999999995</v>
      </c>
      <c r="O191" s="3048">
        <f>IF(Q191&gt;0,N191,"na")</f>
        <v>0.43999999999999995</v>
      </c>
      <c r="P191" s="2336">
        <f t="shared" ref="P191:S191" si="69">SUM(P192:P195)</f>
        <v>3285000000</v>
      </c>
      <c r="Q191" s="896">
        <f t="shared" si="69"/>
        <v>6717691989</v>
      </c>
      <c r="R191" s="2406">
        <f t="shared" si="69"/>
        <v>2035226307</v>
      </c>
      <c r="S191" s="2406">
        <f t="shared" si="69"/>
        <v>1174651250</v>
      </c>
      <c r="T191" s="2341">
        <f t="shared" ref="T191:U195" si="70">IF(Q191=0,0,R191/Q191)</f>
        <v>0.30296511217433253</v>
      </c>
      <c r="U191" s="2341">
        <f t="shared" si="70"/>
        <v>0.57716001702605746</v>
      </c>
      <c r="V191" s="2470" t="s">
        <v>1579</v>
      </c>
      <c r="W191" s="2470" t="s">
        <v>1580</v>
      </c>
      <c r="X191" s="2530"/>
      <c r="Y191" s="3039" t="s">
        <v>1518</v>
      </c>
    </row>
    <row r="192" spans="1:25" ht="67.5">
      <c r="A192" s="3042"/>
      <c r="B192" s="3042"/>
      <c r="C192" s="3042"/>
      <c r="D192" s="3042"/>
      <c r="E192" s="2365" t="s">
        <v>1876</v>
      </c>
      <c r="F192" s="2366"/>
      <c r="G192" s="2366" t="s">
        <v>1859</v>
      </c>
      <c r="H192" s="2509"/>
      <c r="I192" s="2371" t="s">
        <v>1877</v>
      </c>
      <c r="J192" s="2371" t="s">
        <v>1677</v>
      </c>
      <c r="K192" s="2369">
        <v>14</v>
      </c>
      <c r="L192" s="2370">
        <v>0.14000000000000001</v>
      </c>
      <c r="M192" s="2181">
        <v>7</v>
      </c>
      <c r="N192" s="2410">
        <v>0.04</v>
      </c>
      <c r="O192" s="3049"/>
      <c r="P192" s="2431">
        <v>256838400</v>
      </c>
      <c r="Q192" s="410">
        <v>907722325</v>
      </c>
      <c r="R192" s="410">
        <v>126131500</v>
      </c>
      <c r="S192" s="410">
        <v>52934000</v>
      </c>
      <c r="T192" s="2341">
        <f t="shared" si="70"/>
        <v>0.1389538370117756</v>
      </c>
      <c r="U192" s="2341">
        <f t="shared" si="70"/>
        <v>0.41967311892746856</v>
      </c>
      <c r="V192" s="2373">
        <v>45306</v>
      </c>
      <c r="W192" s="2470">
        <v>45657</v>
      </c>
      <c r="X192" s="2390" t="s">
        <v>5103</v>
      </c>
      <c r="Y192" s="3042"/>
    </row>
    <row r="193" spans="1:25" ht="94.5">
      <c r="A193" s="3042"/>
      <c r="B193" s="3042"/>
      <c r="C193" s="3042"/>
      <c r="D193" s="3042"/>
      <c r="E193" s="2365" t="s">
        <v>5104</v>
      </c>
      <c r="F193" s="2366"/>
      <c r="G193" s="2366"/>
      <c r="H193" s="2509"/>
      <c r="I193" s="2371" t="s">
        <v>5105</v>
      </c>
      <c r="J193" s="2371" t="s">
        <v>1541</v>
      </c>
      <c r="K193" s="2369">
        <v>1</v>
      </c>
      <c r="L193" s="2370">
        <v>0.04</v>
      </c>
      <c r="M193" s="2181">
        <v>0</v>
      </c>
      <c r="N193" s="2410">
        <v>0</v>
      </c>
      <c r="O193" s="3049"/>
      <c r="P193" s="2431">
        <v>0</v>
      </c>
      <c r="Q193" s="410">
        <v>265590463</v>
      </c>
      <c r="R193" s="410">
        <v>0</v>
      </c>
      <c r="S193" s="410">
        <v>0</v>
      </c>
      <c r="T193" s="2341">
        <f t="shared" si="70"/>
        <v>0</v>
      </c>
      <c r="U193" s="2341">
        <f t="shared" si="70"/>
        <v>0</v>
      </c>
      <c r="V193" s="2373"/>
      <c r="W193" s="2470"/>
      <c r="X193" s="2390"/>
      <c r="Y193" s="3042"/>
    </row>
    <row r="194" spans="1:25" ht="94.5">
      <c r="A194" s="3042"/>
      <c r="B194" s="3042"/>
      <c r="C194" s="3042"/>
      <c r="D194" s="3042"/>
      <c r="E194" s="2365" t="s">
        <v>1878</v>
      </c>
      <c r="F194" s="2366"/>
      <c r="G194" s="2366"/>
      <c r="H194" s="2509"/>
      <c r="I194" s="2371" t="s">
        <v>1879</v>
      </c>
      <c r="J194" s="2371" t="s">
        <v>1859</v>
      </c>
      <c r="K194" s="2369">
        <v>12</v>
      </c>
      <c r="L194" s="2370">
        <v>0.72</v>
      </c>
      <c r="M194" s="2406">
        <v>6</v>
      </c>
      <c r="N194" s="2403">
        <v>0.36</v>
      </c>
      <c r="O194" s="3049"/>
      <c r="P194" s="2431">
        <v>2719347800</v>
      </c>
      <c r="Q194" s="410">
        <v>4850889154</v>
      </c>
      <c r="R194" s="410">
        <v>1707236807</v>
      </c>
      <c r="S194" s="410">
        <v>1005041250</v>
      </c>
      <c r="T194" s="2341">
        <f t="shared" si="70"/>
        <v>0.35194306709569478</v>
      </c>
      <c r="U194" s="2341">
        <f t="shared" si="70"/>
        <v>0.58869469418603038</v>
      </c>
      <c r="V194" s="2373">
        <v>45306</v>
      </c>
      <c r="W194" s="2470">
        <v>45657</v>
      </c>
      <c r="X194" s="2390" t="s">
        <v>5106</v>
      </c>
      <c r="Y194" s="3042"/>
    </row>
    <row r="195" spans="1:25" ht="67.5">
      <c r="A195" s="3040"/>
      <c r="B195" s="3040"/>
      <c r="C195" s="3040"/>
      <c r="D195" s="3040"/>
      <c r="E195" s="2365" t="s">
        <v>1880</v>
      </c>
      <c r="F195" s="2366"/>
      <c r="G195" s="2368"/>
      <c r="H195" s="2368"/>
      <c r="I195" s="2371" t="s">
        <v>1881</v>
      </c>
      <c r="J195" s="2371" t="s">
        <v>206</v>
      </c>
      <c r="K195" s="2369">
        <v>1</v>
      </c>
      <c r="L195" s="2370">
        <v>0.1</v>
      </c>
      <c r="M195" s="2406">
        <v>0</v>
      </c>
      <c r="N195" s="2339">
        <v>0.04</v>
      </c>
      <c r="O195" s="3050"/>
      <c r="P195" s="2431">
        <v>308813800</v>
      </c>
      <c r="Q195" s="410">
        <v>693490047</v>
      </c>
      <c r="R195" s="410">
        <v>201858000</v>
      </c>
      <c r="S195" s="410">
        <v>116676000</v>
      </c>
      <c r="T195" s="2341">
        <f t="shared" si="70"/>
        <v>0.29107555454216921</v>
      </c>
      <c r="U195" s="2341">
        <f t="shared" si="70"/>
        <v>0.57801028445739089</v>
      </c>
      <c r="V195" s="2373">
        <v>45306</v>
      </c>
      <c r="W195" s="2470">
        <v>45657</v>
      </c>
      <c r="X195" s="2390" t="s">
        <v>1882</v>
      </c>
      <c r="Y195" s="3040"/>
    </row>
    <row r="196" spans="1:25" ht="25.5">
      <c r="A196" s="2344"/>
      <c r="B196" s="2358">
        <v>52030030003</v>
      </c>
      <c r="C196" s="2344" t="s">
        <v>103</v>
      </c>
      <c r="D196" s="2327" t="s">
        <v>1883</v>
      </c>
      <c r="E196" s="2503"/>
      <c r="F196" s="2328"/>
      <c r="G196" s="2392"/>
      <c r="H196" s="2392"/>
      <c r="I196" s="2392"/>
      <c r="J196" s="2518"/>
      <c r="K196" s="2353"/>
      <c r="L196" s="2531"/>
      <c r="M196" s="2498"/>
      <c r="N196" s="2331"/>
      <c r="O196" s="2364"/>
      <c r="P196" s="2521"/>
      <c r="Q196" s="2332"/>
      <c r="R196" s="2498"/>
      <c r="S196" s="2498"/>
      <c r="T196" s="2364"/>
      <c r="U196" s="2364"/>
      <c r="V196" s="2522"/>
      <c r="W196" s="2529"/>
      <c r="X196" s="403"/>
      <c r="Y196" s="2344"/>
    </row>
    <row r="197" spans="1:25">
      <c r="A197" s="3043">
        <v>4145</v>
      </c>
      <c r="B197" s="3043"/>
      <c r="C197" s="3043" t="s">
        <v>109</v>
      </c>
      <c r="D197" s="3039" t="s">
        <v>1884</v>
      </c>
      <c r="E197" s="2365" t="s">
        <v>1885</v>
      </c>
      <c r="F197" s="2404"/>
      <c r="G197" s="2360"/>
      <c r="H197" s="2404"/>
      <c r="I197" s="2360"/>
      <c r="J197" s="2345"/>
      <c r="K197" s="2369">
        <f>SUM(K198:K200)</f>
        <v>14</v>
      </c>
      <c r="L197" s="2370">
        <f>SUM(L198:L201)</f>
        <v>0.99999999999999989</v>
      </c>
      <c r="M197" s="2406"/>
      <c r="N197" s="2339">
        <f>SUM(N198:N201)</f>
        <v>0.38</v>
      </c>
      <c r="O197" s="3048">
        <f>IF(Q197&gt;0,N197,"na")</f>
        <v>0.38</v>
      </c>
      <c r="P197" s="2336">
        <f t="shared" ref="P197:S197" si="71">SUM(P198:P201)</f>
        <v>1800000000</v>
      </c>
      <c r="Q197" s="896">
        <f t="shared" si="71"/>
        <v>2105881394</v>
      </c>
      <c r="R197" s="2406">
        <f t="shared" si="71"/>
        <v>598041500</v>
      </c>
      <c r="S197" s="2406">
        <f t="shared" si="71"/>
        <v>256199500</v>
      </c>
      <c r="T197" s="2341">
        <f t="shared" ref="T197:U201" si="72">IF(Q197=0,0,R197/Q197)</f>
        <v>0.28398631646773548</v>
      </c>
      <c r="U197" s="2341">
        <f t="shared" si="72"/>
        <v>0.42839752759632904</v>
      </c>
      <c r="V197" s="2470" t="s">
        <v>1579</v>
      </c>
      <c r="W197" s="2470" t="s">
        <v>1580</v>
      </c>
      <c r="X197" s="411"/>
      <c r="Y197" s="3039" t="s">
        <v>1518</v>
      </c>
    </row>
    <row r="198" spans="1:25" ht="81">
      <c r="A198" s="3042"/>
      <c r="B198" s="3042"/>
      <c r="C198" s="3042"/>
      <c r="D198" s="3042"/>
      <c r="E198" s="2365" t="s">
        <v>1886</v>
      </c>
      <c r="F198" s="2532"/>
      <c r="G198" s="3057" t="s">
        <v>1883</v>
      </c>
      <c r="H198" s="3061"/>
      <c r="I198" s="2456" t="s">
        <v>1887</v>
      </c>
      <c r="J198" s="2407" t="s">
        <v>1888</v>
      </c>
      <c r="K198" s="2369">
        <v>1</v>
      </c>
      <c r="L198" s="2421">
        <v>0.09</v>
      </c>
      <c r="M198" s="2181">
        <v>0</v>
      </c>
      <c r="N198" s="2410">
        <v>0.02</v>
      </c>
      <c r="O198" s="3049"/>
      <c r="P198" s="2369">
        <v>156340800</v>
      </c>
      <c r="Q198" s="896">
        <v>156340800</v>
      </c>
      <c r="R198" s="896">
        <v>35504000</v>
      </c>
      <c r="S198" s="896">
        <v>13314000</v>
      </c>
      <c r="T198" s="2478">
        <f t="shared" si="72"/>
        <v>0.2270936313489505</v>
      </c>
      <c r="U198" s="2341">
        <f t="shared" si="72"/>
        <v>0.375</v>
      </c>
      <c r="V198" s="2373"/>
      <c r="W198" s="2470">
        <v>45657</v>
      </c>
      <c r="X198" s="411" t="s">
        <v>5107</v>
      </c>
      <c r="Y198" s="3042"/>
    </row>
    <row r="199" spans="1:25" ht="54">
      <c r="A199" s="3042"/>
      <c r="B199" s="3042"/>
      <c r="C199" s="3042"/>
      <c r="D199" s="3042"/>
      <c r="E199" s="2365" t="s">
        <v>1889</v>
      </c>
      <c r="F199" s="2532"/>
      <c r="G199" s="3042"/>
      <c r="H199" s="3042"/>
      <c r="I199" s="2456" t="s">
        <v>1890</v>
      </c>
      <c r="J199" s="2407" t="s">
        <v>1891</v>
      </c>
      <c r="K199" s="2369">
        <v>12</v>
      </c>
      <c r="L199" s="2421">
        <v>0.52</v>
      </c>
      <c r="M199" s="2406">
        <v>6</v>
      </c>
      <c r="N199" s="2403">
        <v>0.26</v>
      </c>
      <c r="O199" s="3049"/>
      <c r="P199" s="2369">
        <v>927114300</v>
      </c>
      <c r="Q199" s="896">
        <v>1207558300</v>
      </c>
      <c r="R199" s="896">
        <v>313010000</v>
      </c>
      <c r="S199" s="896">
        <v>89326000</v>
      </c>
      <c r="T199" s="2478">
        <f t="shared" si="72"/>
        <v>0.25920901707188798</v>
      </c>
      <c r="U199" s="2341">
        <f t="shared" si="72"/>
        <v>0.28537746397878661</v>
      </c>
      <c r="V199" s="2373">
        <v>45315</v>
      </c>
      <c r="W199" s="2470">
        <v>45657</v>
      </c>
      <c r="X199" s="411" t="s">
        <v>5108</v>
      </c>
      <c r="Y199" s="3042"/>
    </row>
    <row r="200" spans="1:25" ht="121.5">
      <c r="A200" s="3042"/>
      <c r="B200" s="3042"/>
      <c r="C200" s="3042"/>
      <c r="D200" s="3042"/>
      <c r="E200" s="2365" t="s">
        <v>1892</v>
      </c>
      <c r="F200" s="2532"/>
      <c r="G200" s="3040"/>
      <c r="H200" s="3040"/>
      <c r="I200" s="2456" t="s">
        <v>1893</v>
      </c>
      <c r="J200" s="2407" t="s">
        <v>1894</v>
      </c>
      <c r="K200" s="2369">
        <v>1</v>
      </c>
      <c r="L200" s="2421">
        <v>0.3</v>
      </c>
      <c r="M200" s="2406">
        <v>0</v>
      </c>
      <c r="N200" s="2339">
        <v>0.1</v>
      </c>
      <c r="O200" s="3049"/>
      <c r="P200" s="2369">
        <v>554977500</v>
      </c>
      <c r="Q200" s="896">
        <v>554977500</v>
      </c>
      <c r="R200" s="896">
        <v>249527500</v>
      </c>
      <c r="S200" s="896">
        <v>153559500</v>
      </c>
      <c r="T200" s="2478">
        <f t="shared" si="72"/>
        <v>0.44961732682856514</v>
      </c>
      <c r="U200" s="2341">
        <f t="shared" si="72"/>
        <v>0.61540110809429827</v>
      </c>
      <c r="V200" s="2373">
        <v>45323</v>
      </c>
      <c r="W200" s="2470">
        <v>45657</v>
      </c>
      <c r="X200" s="411" t="s">
        <v>1895</v>
      </c>
      <c r="Y200" s="3042"/>
    </row>
    <row r="201" spans="1:25" ht="94.5">
      <c r="A201" s="3040"/>
      <c r="B201" s="3040"/>
      <c r="C201" s="3040"/>
      <c r="D201" s="3040"/>
      <c r="E201" s="2365" t="s">
        <v>1896</v>
      </c>
      <c r="F201" s="2532"/>
      <c r="G201" s="2389"/>
      <c r="H201" s="2346"/>
      <c r="I201" s="2456" t="s">
        <v>1897</v>
      </c>
      <c r="J201" s="2407" t="s">
        <v>1898</v>
      </c>
      <c r="K201" s="2369">
        <v>100</v>
      </c>
      <c r="L201" s="2421">
        <v>0.09</v>
      </c>
      <c r="M201" s="2406">
        <v>0</v>
      </c>
      <c r="N201" s="2339">
        <v>0</v>
      </c>
      <c r="O201" s="3050"/>
      <c r="P201" s="2369">
        <v>161567400</v>
      </c>
      <c r="Q201" s="896">
        <v>187004794</v>
      </c>
      <c r="R201" s="896">
        <v>0</v>
      </c>
      <c r="S201" s="896">
        <v>0</v>
      </c>
      <c r="T201" s="2478">
        <f t="shared" si="72"/>
        <v>0</v>
      </c>
      <c r="U201" s="2341">
        <f t="shared" si="72"/>
        <v>0</v>
      </c>
      <c r="V201" s="2373"/>
      <c r="W201" s="2470"/>
      <c r="X201" s="411"/>
      <c r="Y201" s="3040"/>
    </row>
    <row r="202" spans="1:25" ht="38.25">
      <c r="A202" s="2344">
        <v>4145</v>
      </c>
      <c r="B202" s="2358">
        <v>52030030005</v>
      </c>
      <c r="C202" s="2358" t="s">
        <v>103</v>
      </c>
      <c r="D202" s="2359" t="s">
        <v>1899</v>
      </c>
      <c r="E202" s="2495"/>
      <c r="F202" s="2344"/>
      <c r="G202" s="2353"/>
      <c r="H202" s="2353"/>
      <c r="I202" s="2353"/>
      <c r="J202" s="2353"/>
      <c r="K202" s="2353"/>
      <c r="L202" s="2353"/>
      <c r="M202" s="2498"/>
      <c r="N202" s="2419"/>
      <c r="O202" s="480"/>
      <c r="P202" s="2355"/>
      <c r="Q202" s="2499"/>
      <c r="R202" s="2499"/>
      <c r="S202" s="2499"/>
      <c r="T202" s="2364"/>
      <c r="U202" s="2364"/>
      <c r="V202" s="2357"/>
      <c r="W202" s="2529"/>
      <c r="X202" s="403"/>
      <c r="Y202" s="2344"/>
    </row>
    <row r="203" spans="1:25">
      <c r="A203" s="3043">
        <v>4145</v>
      </c>
      <c r="B203" s="3044"/>
      <c r="C203" s="3043" t="s">
        <v>109</v>
      </c>
      <c r="D203" s="3039" t="s">
        <v>1900</v>
      </c>
      <c r="E203" s="2365" t="s">
        <v>1901</v>
      </c>
      <c r="F203" s="2348"/>
      <c r="G203" s="2366"/>
      <c r="H203" s="2431"/>
      <c r="I203" s="2366"/>
      <c r="J203" s="2389"/>
      <c r="K203" s="2369">
        <f>K208</f>
        <v>9000</v>
      </c>
      <c r="L203" s="2370">
        <f>SUM(L204:L208)</f>
        <v>1</v>
      </c>
      <c r="M203" s="2406"/>
      <c r="N203" s="2339">
        <f>SUM(N204:N208)</f>
        <v>0.47100000000000003</v>
      </c>
      <c r="O203" s="3048">
        <f>IF(Q203&gt;0,N203,"na")</f>
        <v>0.47100000000000003</v>
      </c>
      <c r="P203" s="2336">
        <f t="shared" ref="P203:S203" si="73">SUM(P204:P208)</f>
        <v>3225140000</v>
      </c>
      <c r="Q203" s="896">
        <f t="shared" si="73"/>
        <v>3803294959</v>
      </c>
      <c r="R203" s="2406">
        <f t="shared" si="73"/>
        <v>1054441526</v>
      </c>
      <c r="S203" s="2406">
        <f t="shared" si="73"/>
        <v>391431500</v>
      </c>
      <c r="T203" s="2341">
        <f t="shared" ref="T203:U208" si="74">IF(Q203=0,0,R203/Q203)</f>
        <v>0.27724421517842102</v>
      </c>
      <c r="U203" s="2341">
        <f t="shared" si="74"/>
        <v>0.37122162808295922</v>
      </c>
      <c r="V203" s="2470" t="s">
        <v>1579</v>
      </c>
      <c r="W203" s="2470" t="s">
        <v>1580</v>
      </c>
      <c r="X203" s="411"/>
      <c r="Y203" s="3039" t="s">
        <v>1518</v>
      </c>
    </row>
    <row r="204" spans="1:25" ht="67.5">
      <c r="A204" s="3042"/>
      <c r="B204" s="3042"/>
      <c r="C204" s="3042"/>
      <c r="D204" s="3042"/>
      <c r="E204" s="2365" t="s">
        <v>1902</v>
      </c>
      <c r="F204" s="2366"/>
      <c r="G204" s="2345"/>
      <c r="H204" s="2348"/>
      <c r="I204" s="2371" t="s">
        <v>1903</v>
      </c>
      <c r="J204" s="2407" t="s">
        <v>1904</v>
      </c>
      <c r="K204" s="2336">
        <v>4</v>
      </c>
      <c r="L204" s="2421">
        <v>0.09</v>
      </c>
      <c r="M204" s="2406">
        <v>1</v>
      </c>
      <c r="N204" s="2339">
        <v>4.4999999999999998E-2</v>
      </c>
      <c r="O204" s="3049"/>
      <c r="P204" s="2369">
        <v>279459600</v>
      </c>
      <c r="Q204" s="896">
        <v>417939600</v>
      </c>
      <c r="R204" s="896">
        <v>121384000</v>
      </c>
      <c r="S204" s="896">
        <v>44112000</v>
      </c>
      <c r="T204" s="2341">
        <f t="shared" si="74"/>
        <v>0.29043431156080929</v>
      </c>
      <c r="U204" s="2341">
        <f t="shared" si="74"/>
        <v>0.36340868648256774</v>
      </c>
      <c r="V204" s="2470">
        <v>45306</v>
      </c>
      <c r="W204" s="2470">
        <v>45657</v>
      </c>
      <c r="X204" s="2390" t="s">
        <v>5109</v>
      </c>
      <c r="Y204" s="3042"/>
    </row>
    <row r="205" spans="1:25" ht="54">
      <c r="A205" s="3042"/>
      <c r="B205" s="3042"/>
      <c r="C205" s="3042"/>
      <c r="D205" s="3042"/>
      <c r="E205" s="2365" t="s">
        <v>1905</v>
      </c>
      <c r="F205" s="2366"/>
      <c r="G205" s="2368"/>
      <c r="H205" s="2367"/>
      <c r="I205" s="2371" t="s">
        <v>1906</v>
      </c>
      <c r="J205" s="2407" t="s">
        <v>222</v>
      </c>
      <c r="K205" s="2336">
        <v>4</v>
      </c>
      <c r="L205" s="2421">
        <v>0.06</v>
      </c>
      <c r="M205" s="2406">
        <v>0</v>
      </c>
      <c r="N205" s="2339">
        <v>5.0000000000000001E-3</v>
      </c>
      <c r="O205" s="3049"/>
      <c r="P205" s="2369">
        <v>203992772</v>
      </c>
      <c r="Q205" s="896">
        <v>203992772</v>
      </c>
      <c r="R205" s="896">
        <v>11095000</v>
      </c>
      <c r="S205" s="896">
        <v>0</v>
      </c>
      <c r="T205" s="2341">
        <f t="shared" si="74"/>
        <v>5.438918198533034E-2</v>
      </c>
      <c r="U205" s="2341">
        <f t="shared" si="74"/>
        <v>0</v>
      </c>
      <c r="V205" s="2470">
        <v>45419</v>
      </c>
      <c r="W205" s="2470">
        <v>45657</v>
      </c>
      <c r="X205" s="2390" t="s">
        <v>5110</v>
      </c>
      <c r="Y205" s="3042"/>
    </row>
    <row r="206" spans="1:25" ht="40.5">
      <c r="A206" s="3042"/>
      <c r="B206" s="3042"/>
      <c r="C206" s="3042"/>
      <c r="D206" s="3042"/>
      <c r="E206" s="2365" t="s">
        <v>1907</v>
      </c>
      <c r="F206" s="2366"/>
      <c r="G206" s="2368"/>
      <c r="H206" s="2367"/>
      <c r="I206" s="2371" t="s">
        <v>1908</v>
      </c>
      <c r="J206" s="2407" t="s">
        <v>1909</v>
      </c>
      <c r="K206" s="2336">
        <v>1200</v>
      </c>
      <c r="L206" s="2421">
        <v>0.18</v>
      </c>
      <c r="M206" s="2406">
        <v>364</v>
      </c>
      <c r="N206" s="2339">
        <v>5.5E-2</v>
      </c>
      <c r="O206" s="3049"/>
      <c r="P206" s="2369">
        <v>578661712</v>
      </c>
      <c r="Q206" s="896">
        <v>686761435</v>
      </c>
      <c r="R206" s="896">
        <v>93397000</v>
      </c>
      <c r="S206" s="896">
        <v>52426000</v>
      </c>
      <c r="T206" s="2341">
        <f t="shared" si="74"/>
        <v>0.1359962794066909</v>
      </c>
      <c r="U206" s="2341">
        <f t="shared" si="74"/>
        <v>0.56132423953660182</v>
      </c>
      <c r="V206" s="2470">
        <v>45323</v>
      </c>
      <c r="W206" s="2470">
        <v>45657</v>
      </c>
      <c r="X206" s="2390" t="s">
        <v>5111</v>
      </c>
      <c r="Y206" s="3042"/>
    </row>
    <row r="207" spans="1:25" ht="67.5">
      <c r="A207" s="3042"/>
      <c r="B207" s="3042"/>
      <c r="C207" s="3042"/>
      <c r="D207" s="3042"/>
      <c r="E207" s="2365" t="s">
        <v>1910</v>
      </c>
      <c r="F207" s="2366"/>
      <c r="G207" s="2368"/>
      <c r="H207" s="2367"/>
      <c r="I207" s="2371" t="s">
        <v>1911</v>
      </c>
      <c r="J207" s="2407" t="s">
        <v>1912</v>
      </c>
      <c r="K207" s="2336">
        <v>100</v>
      </c>
      <c r="L207" s="2421">
        <v>0.24</v>
      </c>
      <c r="M207" s="2406">
        <v>35.5</v>
      </c>
      <c r="N207" s="2339">
        <v>8.5999999999999993E-2</v>
      </c>
      <c r="O207" s="3049"/>
      <c r="P207" s="2369">
        <v>773680784</v>
      </c>
      <c r="Q207" s="896">
        <v>773680784</v>
      </c>
      <c r="R207" s="896">
        <v>251962022</v>
      </c>
      <c r="S207" s="896">
        <v>66148000</v>
      </c>
      <c r="T207" s="2341">
        <f t="shared" si="74"/>
        <v>0.32566664082999897</v>
      </c>
      <c r="U207" s="2341">
        <f t="shared" si="74"/>
        <v>0.26253162867537233</v>
      </c>
      <c r="V207" s="2470">
        <v>45323</v>
      </c>
      <c r="W207" s="2470">
        <v>45657</v>
      </c>
      <c r="X207" s="2390" t="s">
        <v>5112</v>
      </c>
      <c r="Y207" s="3042"/>
    </row>
    <row r="208" spans="1:25" ht="40.5">
      <c r="A208" s="3040"/>
      <c r="B208" s="3040"/>
      <c r="C208" s="3040"/>
      <c r="D208" s="3040"/>
      <c r="E208" s="2365" t="s">
        <v>1913</v>
      </c>
      <c r="F208" s="2366"/>
      <c r="G208" s="2366" t="s">
        <v>1899</v>
      </c>
      <c r="H208" s="2367"/>
      <c r="I208" s="2371" t="s">
        <v>1914</v>
      </c>
      <c r="J208" s="2407" t="s">
        <v>1915</v>
      </c>
      <c r="K208" s="2336">
        <v>9000</v>
      </c>
      <c r="L208" s="2421">
        <v>0.43</v>
      </c>
      <c r="M208" s="2406">
        <v>5888</v>
      </c>
      <c r="N208" s="2339">
        <v>0.28000000000000003</v>
      </c>
      <c r="O208" s="3050"/>
      <c r="P208" s="2369">
        <v>1389345132</v>
      </c>
      <c r="Q208" s="896">
        <v>1720920368</v>
      </c>
      <c r="R208" s="896">
        <v>576603504</v>
      </c>
      <c r="S208" s="896">
        <v>228745500</v>
      </c>
      <c r="T208" s="2341">
        <f t="shared" si="74"/>
        <v>0.33505530803270728</v>
      </c>
      <c r="U208" s="2341">
        <f t="shared" si="74"/>
        <v>0.39671194922186948</v>
      </c>
      <c r="V208" s="2470">
        <v>45306</v>
      </c>
      <c r="W208" s="2470">
        <v>45657</v>
      </c>
      <c r="X208" s="2390" t="s">
        <v>5113</v>
      </c>
      <c r="Y208" s="3040"/>
    </row>
    <row r="209" spans="1:25" ht="38.25">
      <c r="A209" s="2344"/>
      <c r="B209" s="2358">
        <v>52030080004</v>
      </c>
      <c r="C209" s="2358" t="s">
        <v>103</v>
      </c>
      <c r="D209" s="2327" t="s">
        <v>1916</v>
      </c>
      <c r="E209" s="2495"/>
      <c r="F209" s="2414"/>
      <c r="G209" s="2423"/>
      <c r="H209" s="2423"/>
      <c r="I209" s="2423"/>
      <c r="J209" s="2423"/>
      <c r="K209" s="2353"/>
      <c r="L209" s="2353"/>
      <c r="M209" s="2400"/>
      <c r="N209" s="2401"/>
      <c r="O209" s="2401"/>
      <c r="P209" s="2355"/>
      <c r="Q209" s="2402"/>
      <c r="R209" s="2402"/>
      <c r="S209" s="2402"/>
      <c r="T209" s="2364"/>
      <c r="U209" s="2364"/>
      <c r="V209" s="2529"/>
      <c r="W209" s="2529"/>
      <c r="X209" s="403"/>
      <c r="Y209" s="2344"/>
    </row>
    <row r="210" spans="1:25">
      <c r="A210" s="3043">
        <v>4145</v>
      </c>
      <c r="B210" s="3044"/>
      <c r="C210" s="3043" t="s">
        <v>109</v>
      </c>
      <c r="D210" s="3039" t="s">
        <v>1917</v>
      </c>
      <c r="E210" s="2365" t="s">
        <v>1918</v>
      </c>
      <c r="F210" s="2348"/>
      <c r="G210" s="2389"/>
      <c r="H210" s="2335"/>
      <c r="I210" s="2389"/>
      <c r="J210" s="2389"/>
      <c r="K210" s="2369">
        <f t="shared" ref="K210:L210" si="75">SUM(K211)</f>
        <v>665</v>
      </c>
      <c r="L210" s="2370">
        <f t="shared" si="75"/>
        <v>1</v>
      </c>
      <c r="M210" s="2181"/>
      <c r="N210" s="2410">
        <f>SUM(N211)</f>
        <v>0.1</v>
      </c>
      <c r="O210" s="3060">
        <f>IF(Q210&gt;0,N210,"na")</f>
        <v>0.1</v>
      </c>
      <c r="P210" s="2336">
        <f t="shared" ref="P210:S210" si="76">SUM(P211)</f>
        <v>3500000000</v>
      </c>
      <c r="Q210" s="896">
        <f t="shared" si="76"/>
        <v>4250000000</v>
      </c>
      <c r="R210" s="896">
        <f t="shared" si="76"/>
        <v>2508788860</v>
      </c>
      <c r="S210" s="896">
        <f t="shared" si="76"/>
        <v>0</v>
      </c>
      <c r="T210" s="2341">
        <f t="shared" ref="T210:U211" si="77">IF(Q210=0,0,R210/Q210)</f>
        <v>0.59030326117647058</v>
      </c>
      <c r="U210" s="2341">
        <f t="shared" si="77"/>
        <v>0</v>
      </c>
      <c r="V210" s="2470" t="s">
        <v>5040</v>
      </c>
      <c r="W210" s="2470" t="s">
        <v>1580</v>
      </c>
      <c r="X210" s="411"/>
      <c r="Y210" s="3039" t="s">
        <v>1723</v>
      </c>
    </row>
    <row r="211" spans="1:25" ht="94.5">
      <c r="A211" s="3040"/>
      <c r="B211" s="3040"/>
      <c r="C211" s="3040"/>
      <c r="D211" s="3040"/>
      <c r="E211" s="2365" t="s">
        <v>1919</v>
      </c>
      <c r="F211" s="2360"/>
      <c r="G211" s="2334" t="s">
        <v>1920</v>
      </c>
      <c r="H211" s="2335"/>
      <c r="I211" s="2456" t="s">
        <v>1921</v>
      </c>
      <c r="J211" s="2407" t="s">
        <v>1922</v>
      </c>
      <c r="K211" s="2369">
        <v>665</v>
      </c>
      <c r="L211" s="2421">
        <v>1</v>
      </c>
      <c r="M211" s="2406">
        <v>0</v>
      </c>
      <c r="N211" s="2339">
        <v>0.1</v>
      </c>
      <c r="O211" s="3050"/>
      <c r="P211" s="2369">
        <v>3500000000</v>
      </c>
      <c r="Q211" s="896">
        <v>4250000000</v>
      </c>
      <c r="R211" s="2406">
        <v>2508788860</v>
      </c>
      <c r="S211" s="2406">
        <v>0</v>
      </c>
      <c r="T211" s="2341">
        <f t="shared" si="77"/>
        <v>0.59030326117647058</v>
      </c>
      <c r="U211" s="2341">
        <f t="shared" si="77"/>
        <v>0</v>
      </c>
      <c r="V211" s="2432">
        <v>45444</v>
      </c>
      <c r="W211" s="2470" t="s">
        <v>1580</v>
      </c>
      <c r="X211" s="411" t="s">
        <v>5114</v>
      </c>
      <c r="Y211" s="3040"/>
    </row>
    <row r="212" spans="1:25">
      <c r="A212" s="2343"/>
      <c r="B212" s="2452">
        <v>53</v>
      </c>
      <c r="C212" s="2343" t="s">
        <v>100</v>
      </c>
      <c r="D212" s="2533" t="s">
        <v>1923</v>
      </c>
      <c r="E212" s="2534"/>
      <c r="F212" s="2535"/>
      <c r="G212" s="2309"/>
      <c r="H212" s="2536"/>
      <c r="I212" s="2537"/>
      <c r="J212" s="2537"/>
      <c r="K212" s="2538"/>
      <c r="L212" s="2539"/>
      <c r="M212" s="2540"/>
      <c r="N212" s="2541"/>
      <c r="O212" s="2541"/>
      <c r="P212" s="2538"/>
      <c r="Q212" s="2542"/>
      <c r="R212" s="2542"/>
      <c r="S212" s="2542"/>
      <c r="T212" s="2347"/>
      <c r="U212" s="2347"/>
      <c r="V212" s="2543"/>
      <c r="W212" s="2544"/>
      <c r="X212" s="2545"/>
      <c r="Y212" s="2309"/>
    </row>
    <row r="213" spans="1:25">
      <c r="A213" s="2343"/>
      <c r="B213" s="2452">
        <v>5305</v>
      </c>
      <c r="C213" s="2343" t="s">
        <v>101</v>
      </c>
      <c r="D213" s="2533" t="s">
        <v>252</v>
      </c>
      <c r="E213" s="2534"/>
      <c r="F213" s="2535"/>
      <c r="G213" s="2309"/>
      <c r="H213" s="2536"/>
      <c r="I213" s="2537"/>
      <c r="J213" s="2537"/>
      <c r="K213" s="2538"/>
      <c r="L213" s="2539"/>
      <c r="M213" s="2540"/>
      <c r="N213" s="2541"/>
      <c r="O213" s="2541"/>
      <c r="P213" s="2538"/>
      <c r="Q213" s="2321"/>
      <c r="R213" s="2542"/>
      <c r="S213" s="2542"/>
      <c r="T213" s="2347"/>
      <c r="U213" s="2347"/>
      <c r="V213" s="2543"/>
      <c r="W213" s="2544"/>
      <c r="X213" s="2545"/>
      <c r="Y213" s="2309"/>
    </row>
    <row r="214" spans="1:25">
      <c r="A214" s="2348"/>
      <c r="B214" s="2349">
        <v>5305002</v>
      </c>
      <c r="C214" s="2374" t="s">
        <v>102</v>
      </c>
      <c r="D214" s="2317" t="s">
        <v>1924</v>
      </c>
      <c r="E214" s="2350"/>
      <c r="F214" s="2360"/>
      <c r="G214" s="2310"/>
      <c r="H214" s="2367"/>
      <c r="I214" s="2389"/>
      <c r="J214" s="2389"/>
      <c r="K214" s="2362"/>
      <c r="L214" s="2421"/>
      <c r="M214" s="2406"/>
      <c r="N214" s="2403"/>
      <c r="O214" s="2458"/>
      <c r="P214" s="2362"/>
      <c r="Q214" s="2340"/>
      <c r="R214" s="2340"/>
      <c r="S214" s="2340"/>
      <c r="T214" s="2341"/>
      <c r="U214" s="2341"/>
      <c r="V214" s="2388"/>
      <c r="W214" s="2373"/>
      <c r="X214" s="411"/>
      <c r="Y214" s="2310"/>
    </row>
    <row r="215" spans="1:25" ht="51">
      <c r="A215" s="2348"/>
      <c r="B215" s="2344">
        <v>53050020004</v>
      </c>
      <c r="C215" s="2344" t="s">
        <v>103</v>
      </c>
      <c r="D215" s="2327" t="s">
        <v>1925</v>
      </c>
      <c r="E215" s="2495"/>
      <c r="F215" s="2414"/>
      <c r="G215" s="2360"/>
      <c r="H215" s="2404"/>
      <c r="I215" s="2360"/>
      <c r="J215" s="2345"/>
      <c r="K215" s="2394"/>
      <c r="L215" s="2394"/>
      <c r="M215" s="2406"/>
      <c r="N215" s="2339"/>
      <c r="O215" s="2341"/>
      <c r="P215" s="2394"/>
      <c r="Q215" s="896"/>
      <c r="R215" s="2406"/>
      <c r="S215" s="2406"/>
      <c r="T215" s="2341"/>
      <c r="U215" s="2341"/>
      <c r="V215" s="2394"/>
      <c r="W215" s="2394"/>
      <c r="X215" s="2546"/>
      <c r="Y215" s="2348"/>
    </row>
    <row r="216" spans="1:25">
      <c r="A216" s="3043">
        <v>4145</v>
      </c>
      <c r="B216" s="3043"/>
      <c r="C216" s="3043" t="s">
        <v>109</v>
      </c>
      <c r="D216" s="3039" t="s">
        <v>1926</v>
      </c>
      <c r="E216" s="2365" t="s">
        <v>1927</v>
      </c>
      <c r="F216" s="2348"/>
      <c r="G216" s="2360"/>
      <c r="H216" s="2404"/>
      <c r="I216" s="2360"/>
      <c r="J216" s="2345"/>
      <c r="K216" s="2369">
        <f>SUM(K218+K221)</f>
        <v>387</v>
      </c>
      <c r="L216" s="2370">
        <f>SUM(L217:L223)</f>
        <v>1</v>
      </c>
      <c r="M216" s="2406"/>
      <c r="N216" s="2339">
        <f>SUM(N217:N223)</f>
        <v>0.50549999999999995</v>
      </c>
      <c r="O216" s="3048">
        <f>IF(Q216&gt;0,N216,"na")</f>
        <v>0.50549999999999995</v>
      </c>
      <c r="P216" s="2336">
        <f t="shared" ref="P216:S216" si="78">SUM(P217:P223)</f>
        <v>3200800000</v>
      </c>
      <c r="Q216" s="896">
        <f t="shared" si="78"/>
        <v>3800800000</v>
      </c>
      <c r="R216" s="2406">
        <f t="shared" si="78"/>
        <v>1611258210</v>
      </c>
      <c r="S216" s="2406">
        <f t="shared" si="78"/>
        <v>886565700</v>
      </c>
      <c r="T216" s="2341">
        <f t="shared" ref="T216:U223" si="79">IF(Q216=0,0,R216/Q216)</f>
        <v>0.4239260708271943</v>
      </c>
      <c r="U216" s="2341">
        <f t="shared" si="79"/>
        <v>0.55023192092842776</v>
      </c>
      <c r="V216" s="2432" t="s">
        <v>1579</v>
      </c>
      <c r="W216" s="2470" t="s">
        <v>1580</v>
      </c>
      <c r="X216" s="2546"/>
      <c r="Y216" s="3039" t="s">
        <v>1723</v>
      </c>
    </row>
    <row r="217" spans="1:25" ht="81">
      <c r="A217" s="3042"/>
      <c r="B217" s="3042"/>
      <c r="C217" s="3042"/>
      <c r="D217" s="3042"/>
      <c r="E217" s="2365" t="s">
        <v>1928</v>
      </c>
      <c r="F217" s="2366"/>
      <c r="G217" s="2345"/>
      <c r="H217" s="2345"/>
      <c r="I217" s="2456" t="s">
        <v>1929</v>
      </c>
      <c r="J217" s="2334" t="s">
        <v>106</v>
      </c>
      <c r="K217" s="2369">
        <v>1000</v>
      </c>
      <c r="L217" s="2421">
        <v>0.05</v>
      </c>
      <c r="M217" s="2406">
        <v>0</v>
      </c>
      <c r="N217" s="2339">
        <v>0</v>
      </c>
      <c r="O217" s="3049"/>
      <c r="P217" s="2369">
        <v>224884850</v>
      </c>
      <c r="Q217" s="896">
        <v>224884850</v>
      </c>
      <c r="R217" s="896">
        <v>0</v>
      </c>
      <c r="S217" s="896">
        <v>0</v>
      </c>
      <c r="T217" s="2341">
        <f t="shared" si="79"/>
        <v>0</v>
      </c>
      <c r="U217" s="2341">
        <f t="shared" si="79"/>
        <v>0</v>
      </c>
      <c r="V217" s="2388"/>
      <c r="W217" s="2373"/>
      <c r="X217" s="2546"/>
      <c r="Y217" s="3042"/>
    </row>
    <row r="218" spans="1:25" ht="108">
      <c r="A218" s="3042"/>
      <c r="B218" s="3042"/>
      <c r="C218" s="3042"/>
      <c r="D218" s="3042"/>
      <c r="E218" s="2365" t="s">
        <v>1930</v>
      </c>
      <c r="F218" s="2366"/>
      <c r="G218" s="2334" t="s">
        <v>1925</v>
      </c>
      <c r="H218" s="2404"/>
      <c r="I218" s="2456" t="s">
        <v>1931</v>
      </c>
      <c r="J218" s="2407" t="s">
        <v>1932</v>
      </c>
      <c r="K218" s="2369">
        <v>36</v>
      </c>
      <c r="L218" s="2421">
        <v>0.15</v>
      </c>
      <c r="M218" s="2406">
        <v>15</v>
      </c>
      <c r="N218" s="2339">
        <v>6.25E-2</v>
      </c>
      <c r="O218" s="3049"/>
      <c r="P218" s="2369">
        <v>122607720</v>
      </c>
      <c r="Q218" s="896">
        <v>122607720</v>
      </c>
      <c r="R218" s="896">
        <v>52808308</v>
      </c>
      <c r="S218" s="896">
        <v>33829114</v>
      </c>
      <c r="T218" s="2341">
        <f t="shared" si="79"/>
        <v>0.43070948550384919</v>
      </c>
      <c r="U218" s="2341">
        <f t="shared" si="79"/>
        <v>0.64060211889386798</v>
      </c>
      <c r="V218" s="2373">
        <v>45323</v>
      </c>
      <c r="W218" s="2448" t="s">
        <v>1580</v>
      </c>
      <c r="X218" s="2546" t="s">
        <v>5115</v>
      </c>
      <c r="Y218" s="3042"/>
    </row>
    <row r="219" spans="1:25" ht="40.5">
      <c r="A219" s="3042"/>
      <c r="B219" s="3042"/>
      <c r="C219" s="3042"/>
      <c r="D219" s="3042"/>
      <c r="E219" s="2365" t="s">
        <v>1933</v>
      </c>
      <c r="F219" s="2366"/>
      <c r="G219" s="2389"/>
      <c r="H219" s="2346"/>
      <c r="I219" s="2456" t="s">
        <v>1934</v>
      </c>
      <c r="J219" s="2407" t="s">
        <v>1935</v>
      </c>
      <c r="K219" s="2369">
        <v>7</v>
      </c>
      <c r="L219" s="2421">
        <v>0.02</v>
      </c>
      <c r="M219" s="2406">
        <v>4</v>
      </c>
      <c r="N219" s="2339">
        <v>1.14E-2</v>
      </c>
      <c r="O219" s="3049"/>
      <c r="P219" s="2369">
        <v>26895600</v>
      </c>
      <c r="Q219" s="896">
        <v>26895600</v>
      </c>
      <c r="R219" s="896">
        <v>19537195</v>
      </c>
      <c r="S219" s="896">
        <v>9321799</v>
      </c>
      <c r="T219" s="2341">
        <f t="shared" si="79"/>
        <v>0.72640859471437702</v>
      </c>
      <c r="U219" s="2341">
        <f t="shared" si="79"/>
        <v>0.47713087779489327</v>
      </c>
      <c r="V219" s="2388">
        <v>45306</v>
      </c>
      <c r="W219" s="2373" t="s">
        <v>1580</v>
      </c>
      <c r="X219" s="2546" t="s">
        <v>1936</v>
      </c>
      <c r="Y219" s="3042"/>
    </row>
    <row r="220" spans="1:25" ht="67.5">
      <c r="A220" s="3042"/>
      <c r="B220" s="3042"/>
      <c r="C220" s="3042"/>
      <c r="D220" s="3042"/>
      <c r="E220" s="2365" t="s">
        <v>1937</v>
      </c>
      <c r="F220" s="2366"/>
      <c r="G220" s="2389"/>
      <c r="H220" s="2346"/>
      <c r="I220" s="2456" t="s">
        <v>1938</v>
      </c>
      <c r="J220" s="2407" t="s">
        <v>1939</v>
      </c>
      <c r="K220" s="2369">
        <v>1</v>
      </c>
      <c r="L220" s="2421">
        <v>0.4</v>
      </c>
      <c r="M220" s="2406">
        <v>0</v>
      </c>
      <c r="N220" s="2339">
        <v>0.24</v>
      </c>
      <c r="O220" s="3049"/>
      <c r="P220" s="2369">
        <v>2158214400</v>
      </c>
      <c r="Q220" s="896">
        <v>2758214400</v>
      </c>
      <c r="R220" s="896">
        <v>1288524000</v>
      </c>
      <c r="S220" s="896">
        <v>697391200</v>
      </c>
      <c r="T220" s="2341">
        <f t="shared" si="79"/>
        <v>0.46715875314116262</v>
      </c>
      <c r="U220" s="2341">
        <f t="shared" si="79"/>
        <v>0.54123260412689245</v>
      </c>
      <c r="V220" s="2388">
        <v>45306</v>
      </c>
      <c r="W220" s="2373" t="s">
        <v>1580</v>
      </c>
      <c r="X220" s="2547" t="s">
        <v>5116</v>
      </c>
      <c r="Y220" s="3042"/>
    </row>
    <row r="221" spans="1:25" ht="121.5">
      <c r="A221" s="3042"/>
      <c r="B221" s="3042"/>
      <c r="C221" s="3042"/>
      <c r="D221" s="3042"/>
      <c r="E221" s="2365" t="s">
        <v>1940</v>
      </c>
      <c r="F221" s="2366"/>
      <c r="G221" s="2407" t="s">
        <v>1925</v>
      </c>
      <c r="H221" s="2497"/>
      <c r="I221" s="2456" t="s">
        <v>1941</v>
      </c>
      <c r="J221" s="2407" t="s">
        <v>1942</v>
      </c>
      <c r="K221" s="2369">
        <v>351</v>
      </c>
      <c r="L221" s="2421">
        <v>0.25</v>
      </c>
      <c r="M221" s="2181">
        <v>144</v>
      </c>
      <c r="N221" s="2410">
        <v>0.1026</v>
      </c>
      <c r="O221" s="3049"/>
      <c r="P221" s="2369">
        <v>311094000</v>
      </c>
      <c r="Q221" s="896">
        <v>311094000</v>
      </c>
      <c r="R221" s="896">
        <v>102343000</v>
      </c>
      <c r="S221" s="896">
        <v>62353000</v>
      </c>
      <c r="T221" s="2341">
        <f t="shared" si="79"/>
        <v>0.32897773663265767</v>
      </c>
      <c r="U221" s="2341">
        <f t="shared" si="79"/>
        <v>0.60925515179347878</v>
      </c>
      <c r="V221" s="2388">
        <v>45323</v>
      </c>
      <c r="W221" s="2373" t="s">
        <v>1580</v>
      </c>
      <c r="X221" s="2390" t="s">
        <v>5117</v>
      </c>
      <c r="Y221" s="3042"/>
    </row>
    <row r="222" spans="1:25" ht="81">
      <c r="A222" s="3042"/>
      <c r="B222" s="3042"/>
      <c r="C222" s="3042"/>
      <c r="D222" s="3042"/>
      <c r="E222" s="2365" t="s">
        <v>1943</v>
      </c>
      <c r="F222" s="2366"/>
      <c r="G222" s="2389"/>
      <c r="H222" s="2346"/>
      <c r="I222" s="2456" t="s">
        <v>1944</v>
      </c>
      <c r="J222" s="2407" t="s">
        <v>1945</v>
      </c>
      <c r="K222" s="2369">
        <v>100</v>
      </c>
      <c r="L222" s="2421">
        <v>0.1</v>
      </c>
      <c r="M222" s="2406">
        <v>71</v>
      </c>
      <c r="N222" s="2339">
        <v>7.0999999999999994E-2</v>
      </c>
      <c r="O222" s="3049"/>
      <c r="P222" s="2369">
        <v>101338910</v>
      </c>
      <c r="Q222" s="896">
        <v>101338910</v>
      </c>
      <c r="R222" s="896">
        <v>45917076</v>
      </c>
      <c r="S222" s="896">
        <v>11366762</v>
      </c>
      <c r="T222" s="2341">
        <f t="shared" si="79"/>
        <v>0.45310410384323258</v>
      </c>
      <c r="U222" s="2341">
        <f t="shared" si="79"/>
        <v>0.24754977864879724</v>
      </c>
      <c r="V222" s="2388">
        <v>45306</v>
      </c>
      <c r="W222" s="2373" t="s">
        <v>1580</v>
      </c>
      <c r="X222" s="2390" t="s">
        <v>5118</v>
      </c>
      <c r="Y222" s="3042"/>
    </row>
    <row r="223" spans="1:25" ht="81">
      <c r="A223" s="3040"/>
      <c r="B223" s="3040"/>
      <c r="C223" s="3040"/>
      <c r="D223" s="3040"/>
      <c r="E223" s="2365" t="s">
        <v>1946</v>
      </c>
      <c r="F223" s="2366"/>
      <c r="G223" s="2389"/>
      <c r="H223" s="2346"/>
      <c r="I223" s="2456" t="s">
        <v>1947</v>
      </c>
      <c r="J223" s="2407" t="s">
        <v>1948</v>
      </c>
      <c r="K223" s="2369">
        <v>1</v>
      </c>
      <c r="L223" s="2421">
        <v>0.03</v>
      </c>
      <c r="M223" s="2181">
        <v>0</v>
      </c>
      <c r="N223" s="2410">
        <v>1.7999999999999999E-2</v>
      </c>
      <c r="O223" s="3050"/>
      <c r="P223" s="2369">
        <v>255764520</v>
      </c>
      <c r="Q223" s="896">
        <v>255764520</v>
      </c>
      <c r="R223" s="896">
        <v>102128631</v>
      </c>
      <c r="S223" s="896">
        <v>72303825</v>
      </c>
      <c r="T223" s="2341">
        <f t="shared" si="79"/>
        <v>0.39930726513591486</v>
      </c>
      <c r="U223" s="2341">
        <f t="shared" si="79"/>
        <v>0.70796821901979667</v>
      </c>
      <c r="V223" s="2388">
        <v>45306</v>
      </c>
      <c r="W223" s="2373" t="s">
        <v>1580</v>
      </c>
      <c r="X223" s="2390" t="s">
        <v>5119</v>
      </c>
      <c r="Y223" s="3040"/>
    </row>
    <row r="224" spans="1:25">
      <c r="A224" s="2458"/>
      <c r="B224" s="2548" t="s">
        <v>36</v>
      </c>
      <c r="C224" s="2549">
        <f>COUNTIF(C11:C223,"pr")</f>
        <v>38</v>
      </c>
      <c r="D224" s="2550" t="s">
        <v>1467</v>
      </c>
      <c r="E224" s="2551">
        <f>COUNTIF(O7:O223,"na")-C225</f>
        <v>0</v>
      </c>
      <c r="F224" s="2458"/>
      <c r="G224" s="2549"/>
      <c r="H224" s="2552"/>
      <c r="I224" s="2553"/>
      <c r="J224" s="2554"/>
      <c r="K224" s="2552"/>
      <c r="L224" s="2555"/>
      <c r="M224" s="2555"/>
      <c r="N224" s="2458" t="s">
        <v>503</v>
      </c>
      <c r="O224" s="2556">
        <f>+(O216+O210+O203+O197+O191+O188+O180+O176+O169+O166+O161+O157+O151+O145+O139+O135+O130+O125+O120+O115+O110+O106+O101+O96+O92+O86+O81+O74+O69+O60+O53+O47+O38+O33+O25+O20+O17+O11)/38</f>
        <v>0.26254177158505576</v>
      </c>
      <c r="P224" s="2557">
        <f t="shared" ref="P224:S224" si="80">+P216+P210+P203+P197+P191+P188+P180+P176+P169+P166+P161+P157+P151+P145+P139+P135+P130+P125+P120+P115+P110+P106+P101+P96+P92+P86+P81+P74+P69+P60+P53+P47+P38+P33+P25+P20+P17+P11</f>
        <v>1375048175496</v>
      </c>
      <c r="Q224" s="2557">
        <f t="shared" si="80"/>
        <v>1562486412571</v>
      </c>
      <c r="R224" s="2557">
        <f t="shared" si="80"/>
        <v>482874254145</v>
      </c>
      <c r="S224" s="2557">
        <f t="shared" si="80"/>
        <v>456147572498</v>
      </c>
      <c r="T224" s="2558">
        <f>IF(Q224=0,0,R224/Q224)</f>
        <v>0.30904221006981591</v>
      </c>
      <c r="U224" s="2558">
        <v>0</v>
      </c>
      <c r="V224" s="2559"/>
      <c r="W224" s="2559"/>
      <c r="X224" s="2560"/>
      <c r="Y224" s="2560"/>
    </row>
    <row r="225" spans="1:25">
      <c r="A225" s="2549"/>
      <c r="B225" s="2561" t="s">
        <v>1949</v>
      </c>
      <c r="C225" s="2562">
        <f>COUNTIF(C12:C223,"db")</f>
        <v>0</v>
      </c>
      <c r="D225" s="2563"/>
      <c r="E225" s="2563"/>
      <c r="F225" s="2458"/>
      <c r="G225" s="2458"/>
      <c r="H225" s="2458"/>
      <c r="I225" s="2561"/>
      <c r="J225" s="2562"/>
      <c r="K225" s="2548"/>
      <c r="L225" s="2564"/>
      <c r="M225" s="2564"/>
      <c r="N225" s="2565" t="s">
        <v>119</v>
      </c>
      <c r="O225" s="2566">
        <f>COUNTIF(O7:O223,"=0%")</f>
        <v>5</v>
      </c>
      <c r="P225" s="2557">
        <v>1375048175496</v>
      </c>
      <c r="Q225" s="2557">
        <v>1562486412571</v>
      </c>
      <c r="R225" s="2557">
        <v>482874254145</v>
      </c>
      <c r="S225" s="2557">
        <v>456147572498</v>
      </c>
      <c r="T225" s="2567"/>
      <c r="U225" s="2568"/>
      <c r="V225" s="2549"/>
      <c r="W225" s="2549"/>
      <c r="X225" s="2458"/>
      <c r="Y225" s="2569"/>
    </row>
    <row r="226" spans="1:25">
      <c r="A226" s="2570"/>
      <c r="B226" s="2570"/>
      <c r="C226" s="2570"/>
      <c r="D226" s="2571"/>
      <c r="E226" s="2571"/>
      <c r="F226" s="2571"/>
      <c r="G226" s="2571"/>
      <c r="H226" s="2571"/>
      <c r="I226" s="2572"/>
      <c r="J226" s="2573"/>
      <c r="K226" s="2574"/>
      <c r="L226" s="2574"/>
      <c r="M226" s="2574"/>
      <c r="N226" s="2571"/>
      <c r="O226" s="2570"/>
      <c r="P226" s="2575"/>
      <c r="Q226" s="2575"/>
      <c r="R226" s="2575"/>
      <c r="S226" s="2576"/>
      <c r="T226" s="2571"/>
      <c r="U226" s="2571"/>
      <c r="V226" s="2549"/>
      <c r="W226" s="2549"/>
      <c r="X226" s="2458"/>
      <c r="Y226" s="2577"/>
    </row>
    <row r="227" spans="1:25">
      <c r="A227" s="2570"/>
      <c r="B227" s="2570"/>
      <c r="C227" s="2570"/>
      <c r="D227" s="2571"/>
      <c r="E227" s="2571"/>
      <c r="F227" s="2571"/>
      <c r="G227" s="2571"/>
      <c r="H227" s="2571"/>
      <c r="I227" s="2572"/>
      <c r="J227" s="2573"/>
      <c r="K227" s="2574"/>
      <c r="L227" s="2578"/>
      <c r="M227" s="2574"/>
      <c r="N227" s="2571"/>
      <c r="O227" s="2569"/>
      <c r="P227" s="2579"/>
      <c r="Q227" s="2579"/>
      <c r="R227" s="2579"/>
      <c r="S227" s="2579"/>
      <c r="T227" s="2580"/>
      <c r="U227" s="2581"/>
      <c r="V227" s="2549"/>
      <c r="W227" s="2549"/>
      <c r="X227" s="2458"/>
      <c r="Y227" s="2577"/>
    </row>
    <row r="228" spans="1:25">
      <c r="A228" s="2570"/>
      <c r="B228" s="2570"/>
      <c r="C228" s="2570"/>
      <c r="D228" s="480"/>
      <c r="E228" s="2571"/>
      <c r="F228" s="2571"/>
      <c r="G228" s="2571"/>
      <c r="H228" s="2571"/>
      <c r="I228" s="2572"/>
      <c r="J228" s="2573"/>
      <c r="K228" s="2574"/>
      <c r="L228" s="2578"/>
      <c r="M228" s="2574"/>
      <c r="N228" s="2571"/>
      <c r="O228" s="2570"/>
      <c r="P228" s="2557"/>
      <c r="Q228" s="2557"/>
      <c r="R228" s="2576"/>
      <c r="S228" s="2576"/>
      <c r="T228" s="2571"/>
      <c r="U228" s="2571"/>
      <c r="V228" s="2549"/>
      <c r="W228" s="2549"/>
      <c r="X228" s="2458"/>
      <c r="Y228" s="2577"/>
    </row>
    <row r="229" spans="1:25">
      <c r="A229" s="2570"/>
      <c r="B229" s="2570"/>
      <c r="C229" s="2570"/>
      <c r="D229" s="2571"/>
      <c r="E229" s="2571"/>
      <c r="F229" s="2571"/>
      <c r="G229" s="2571"/>
      <c r="H229" s="2458"/>
      <c r="I229" s="2561"/>
      <c r="J229" s="2562"/>
      <c r="K229" s="2548"/>
      <c r="L229" s="2582"/>
      <c r="M229" s="3033"/>
      <c r="N229" s="3034"/>
      <c r="O229" s="2570"/>
      <c r="P229" s="2583"/>
      <c r="Q229" s="2583"/>
      <c r="R229" s="2575"/>
      <c r="S229" s="2575"/>
      <c r="T229" s="2571"/>
      <c r="U229" s="2571"/>
      <c r="V229" s="2549"/>
      <c r="W229" s="2549"/>
      <c r="X229" s="2458"/>
      <c r="Y229" s="2577"/>
    </row>
    <row r="230" spans="1:25">
      <c r="A230" s="2570"/>
      <c r="B230" s="2570"/>
      <c r="C230" s="2570"/>
      <c r="D230" s="2571"/>
      <c r="E230" s="2571"/>
      <c r="F230" s="2571"/>
      <c r="G230" s="2571"/>
      <c r="H230" s="2458"/>
      <c r="I230" s="2561"/>
      <c r="J230" s="2562"/>
      <c r="K230" s="2548"/>
      <c r="L230" s="2582"/>
      <c r="M230" s="2548"/>
      <c r="N230" s="2584"/>
      <c r="O230" s="2570"/>
      <c r="P230" s="2575"/>
      <c r="Q230" s="2575"/>
      <c r="R230" s="2575"/>
      <c r="S230" s="2575"/>
      <c r="T230" s="2575"/>
      <c r="U230" s="2575"/>
      <c r="V230" s="2549"/>
      <c r="W230" s="2549"/>
      <c r="X230" s="2458"/>
      <c r="Y230" s="2577"/>
    </row>
    <row r="231" spans="1:25">
      <c r="A231" s="2570"/>
      <c r="B231" s="2570"/>
      <c r="C231" s="2570"/>
      <c r="D231" s="2571"/>
      <c r="E231" s="2571"/>
      <c r="F231" s="2571"/>
      <c r="G231" s="2571"/>
      <c r="H231" s="2458"/>
      <c r="I231" s="2561"/>
      <c r="J231" s="2562"/>
      <c r="K231" s="2548"/>
      <c r="L231" s="2548"/>
      <c r="M231" s="2548"/>
      <c r="N231" s="2584"/>
      <c r="O231" s="2570"/>
      <c r="P231" s="2585"/>
      <c r="Q231" s="2571"/>
      <c r="R231" s="2585"/>
      <c r="S231" s="2585"/>
      <c r="T231" s="2571"/>
      <c r="U231" s="2571"/>
      <c r="V231" s="2549"/>
      <c r="W231" s="2549"/>
      <c r="X231" s="2458"/>
      <c r="Y231" s="2577"/>
    </row>
    <row r="232" spans="1:25">
      <c r="A232" s="2570"/>
      <c r="B232" s="2570"/>
      <c r="C232" s="2570"/>
      <c r="D232" s="2571"/>
      <c r="E232" s="2571"/>
      <c r="F232" s="2571"/>
      <c r="G232" s="2571"/>
      <c r="H232" s="2571"/>
      <c r="I232" s="2572"/>
      <c r="J232" s="2573"/>
      <c r="K232" s="2574"/>
      <c r="L232" s="2574"/>
      <c r="M232" s="2574"/>
      <c r="N232" s="2585"/>
      <c r="O232" s="2570"/>
      <c r="P232" s="2575"/>
      <c r="Q232" s="2571"/>
      <c r="R232" s="2571"/>
      <c r="S232" s="2575"/>
      <c r="T232" s="2571"/>
      <c r="U232" s="2571"/>
      <c r="V232" s="2549"/>
      <c r="W232" s="2549"/>
      <c r="X232" s="2458"/>
      <c r="Y232" s="2577"/>
    </row>
    <row r="233" spans="1:25">
      <c r="A233" s="2570"/>
      <c r="B233" s="2570"/>
      <c r="C233" s="2570"/>
      <c r="D233" s="2571"/>
      <c r="E233" s="2571"/>
      <c r="F233" s="2571"/>
      <c r="G233" s="2571"/>
      <c r="H233" s="2571"/>
      <c r="I233" s="2572"/>
      <c r="J233" s="2573"/>
      <c r="K233" s="2574"/>
      <c r="L233" s="2574"/>
      <c r="M233" s="2574"/>
      <c r="N233" s="2571"/>
      <c r="O233" s="2570"/>
      <c r="P233" s="2571"/>
      <c r="Q233" s="2571"/>
      <c r="R233" s="2571"/>
      <c r="S233" s="2571"/>
      <c r="T233" s="2571"/>
      <c r="U233" s="2571"/>
      <c r="V233" s="2549"/>
      <c r="W233" s="2549"/>
      <c r="X233" s="2458"/>
      <c r="Y233" s="2577"/>
    </row>
    <row r="234" spans="1:25">
      <c r="A234" s="2570"/>
      <c r="B234" s="2570"/>
      <c r="C234" s="2570"/>
      <c r="D234" s="2571"/>
      <c r="E234" s="2571"/>
      <c r="F234" s="2571"/>
      <c r="G234" s="2571"/>
      <c r="H234" s="2571"/>
      <c r="I234" s="2572"/>
      <c r="J234" s="2573"/>
      <c r="K234" s="2574"/>
      <c r="L234" s="2574"/>
      <c r="M234" s="2574"/>
      <c r="N234" s="2571"/>
      <c r="O234" s="2570"/>
      <c r="P234" s="2571"/>
      <c r="Q234" s="2571"/>
      <c r="R234" s="2571"/>
      <c r="S234" s="2571"/>
      <c r="T234" s="2571"/>
      <c r="U234" s="2571"/>
      <c r="V234" s="2549"/>
      <c r="W234" s="2549"/>
      <c r="X234" s="2458"/>
      <c r="Y234" s="2577"/>
    </row>
    <row r="235" spans="1:25">
      <c r="A235" s="2570"/>
      <c r="B235" s="2570"/>
      <c r="C235" s="2570"/>
      <c r="D235" s="2571"/>
      <c r="E235" s="2571"/>
      <c r="F235" s="2571"/>
      <c r="G235" s="2571"/>
      <c r="H235" s="2571"/>
      <c r="I235" s="2572"/>
      <c r="J235" s="2573"/>
      <c r="K235" s="2574"/>
      <c r="L235" s="2574"/>
      <c r="M235" s="2574"/>
      <c r="N235" s="2571"/>
      <c r="O235" s="2570"/>
      <c r="P235" s="2571"/>
      <c r="Q235" s="2571"/>
      <c r="R235" s="2571"/>
      <c r="S235" s="2571"/>
      <c r="T235" s="2571"/>
      <c r="U235" s="2571"/>
      <c r="V235" s="2549"/>
      <c r="W235" s="2549"/>
      <c r="X235" s="2458"/>
      <c r="Y235" s="2577"/>
    </row>
    <row r="236" spans="1:25">
      <c r="A236" s="2570"/>
      <c r="B236" s="2570"/>
      <c r="C236" s="2570"/>
      <c r="D236" s="2571"/>
      <c r="E236" s="2571"/>
      <c r="F236" s="2571"/>
      <c r="G236" s="2571"/>
      <c r="H236" s="2571"/>
      <c r="I236" s="2572"/>
      <c r="J236" s="2573"/>
      <c r="K236" s="2574"/>
      <c r="L236" s="2574"/>
      <c r="M236" s="2574"/>
      <c r="N236" s="2571"/>
      <c r="O236" s="2570"/>
      <c r="P236" s="2571"/>
      <c r="Q236" s="2571"/>
      <c r="R236" s="2571"/>
      <c r="S236" s="2571"/>
      <c r="T236" s="2571"/>
      <c r="U236" s="2571"/>
      <c r="V236" s="2549"/>
      <c r="W236" s="2549"/>
      <c r="X236" s="2458"/>
      <c r="Y236" s="2577"/>
    </row>
    <row r="237" spans="1:25">
      <c r="A237" s="2570"/>
      <c r="B237" s="2570"/>
      <c r="C237" s="2570"/>
      <c r="D237" s="2571"/>
      <c r="E237" s="2571"/>
      <c r="F237" s="2571"/>
      <c r="G237" s="2571"/>
      <c r="H237" s="2571"/>
      <c r="I237" s="2572"/>
      <c r="J237" s="2573"/>
      <c r="K237" s="2574"/>
      <c r="L237" s="2574"/>
      <c r="M237" s="2574"/>
      <c r="N237" s="2571"/>
      <c r="O237" s="2570"/>
      <c r="P237" s="2571"/>
      <c r="Q237" s="2571"/>
      <c r="R237" s="2571"/>
      <c r="S237" s="2571"/>
      <c r="T237" s="2571"/>
      <c r="U237" s="2571"/>
      <c r="V237" s="2549"/>
      <c r="W237" s="2549"/>
      <c r="X237" s="2458"/>
      <c r="Y237" s="2577"/>
    </row>
    <row r="238" spans="1:25">
      <c r="A238" s="2570"/>
      <c r="B238" s="2570"/>
      <c r="C238" s="2570"/>
      <c r="D238" s="2571"/>
      <c r="E238" s="2571"/>
      <c r="F238" s="2571"/>
      <c r="G238" s="2571"/>
      <c r="H238" s="2571"/>
      <c r="I238" s="2572"/>
      <c r="J238" s="2573"/>
      <c r="K238" s="2574"/>
      <c r="L238" s="2574"/>
      <c r="M238" s="2574"/>
      <c r="N238" s="2571"/>
      <c r="O238" s="2570"/>
      <c r="P238" s="2571"/>
      <c r="Q238" s="2571"/>
      <c r="R238" s="2571"/>
      <c r="S238" s="2571"/>
      <c r="T238" s="2571"/>
      <c r="U238" s="2571"/>
      <c r="V238" s="2549"/>
      <c r="W238" s="2549"/>
      <c r="X238" s="2458"/>
      <c r="Y238" s="2577"/>
    </row>
    <row r="239" spans="1:25">
      <c r="A239" s="2570"/>
      <c r="B239" s="2570"/>
      <c r="C239" s="2570"/>
      <c r="D239" s="2571"/>
      <c r="E239" s="2571"/>
      <c r="F239" s="2571"/>
      <c r="G239" s="2571"/>
      <c r="H239" s="2571"/>
      <c r="I239" s="2572"/>
      <c r="J239" s="2573"/>
      <c r="K239" s="2574"/>
      <c r="L239" s="2574"/>
      <c r="M239" s="2574"/>
      <c r="N239" s="2571"/>
      <c r="O239" s="2570"/>
      <c r="P239" s="2571"/>
      <c r="Q239" s="2571"/>
      <c r="R239" s="2571"/>
      <c r="S239" s="2571"/>
      <c r="T239" s="2571"/>
      <c r="U239" s="2571"/>
      <c r="V239" s="2549"/>
      <c r="W239" s="2549"/>
      <c r="X239" s="2458"/>
      <c r="Y239" s="2577"/>
    </row>
    <row r="240" spans="1:25">
      <c r="A240" s="2570"/>
      <c r="B240" s="2570"/>
      <c r="C240" s="2570"/>
      <c r="D240" s="2571"/>
      <c r="E240" s="2571"/>
      <c r="F240" s="2571"/>
      <c r="G240" s="2571"/>
      <c r="H240" s="2571"/>
      <c r="I240" s="2572"/>
      <c r="J240" s="2573"/>
      <c r="K240" s="2574"/>
      <c r="L240" s="2574"/>
      <c r="M240" s="2574"/>
      <c r="N240" s="2571"/>
      <c r="O240" s="2570"/>
      <c r="P240" s="2571"/>
      <c r="Q240" s="2571"/>
      <c r="R240" s="2571"/>
      <c r="S240" s="2571"/>
      <c r="T240" s="2571"/>
      <c r="U240" s="2571"/>
      <c r="V240" s="2549"/>
      <c r="W240" s="2549"/>
      <c r="X240" s="2458"/>
      <c r="Y240" s="2577"/>
    </row>
    <row r="241" spans="1:25">
      <c r="A241" s="2570"/>
      <c r="B241" s="2570"/>
      <c r="C241" s="2570"/>
      <c r="D241" s="2571"/>
      <c r="E241" s="2571"/>
      <c r="F241" s="2571"/>
      <c r="G241" s="2571"/>
      <c r="H241" s="2571"/>
      <c r="I241" s="2572"/>
      <c r="J241" s="2573"/>
      <c r="K241" s="2574"/>
      <c r="L241" s="2574"/>
      <c r="M241" s="2574"/>
      <c r="N241" s="2571"/>
      <c r="O241" s="2570"/>
      <c r="P241" s="2571"/>
      <c r="Q241" s="2571"/>
      <c r="R241" s="2571"/>
      <c r="S241" s="2571"/>
      <c r="T241" s="2571"/>
      <c r="U241" s="2571"/>
      <c r="V241" s="2549"/>
      <c r="W241" s="2549"/>
      <c r="X241" s="2458"/>
      <c r="Y241" s="2577"/>
    </row>
    <row r="242" spans="1:25">
      <c r="A242" s="2570"/>
      <c r="B242" s="2570"/>
      <c r="C242" s="2570"/>
      <c r="D242" s="2571"/>
      <c r="E242" s="2571"/>
      <c r="F242" s="2571"/>
      <c r="G242" s="2571"/>
      <c r="H242" s="2571"/>
      <c r="I242" s="2572"/>
      <c r="J242" s="2573"/>
      <c r="K242" s="2574"/>
      <c r="L242" s="2574"/>
      <c r="M242" s="2574"/>
      <c r="N242" s="2571"/>
      <c r="O242" s="2570"/>
      <c r="P242" s="2571"/>
      <c r="Q242" s="2571"/>
      <c r="R242" s="2571"/>
      <c r="S242" s="2571"/>
      <c r="T242" s="2571"/>
      <c r="U242" s="2571"/>
      <c r="V242" s="2549"/>
      <c r="W242" s="2549"/>
      <c r="X242" s="2458"/>
      <c r="Y242" s="2577"/>
    </row>
    <row r="243" spans="1:25">
      <c r="A243" s="2570"/>
      <c r="B243" s="2570"/>
      <c r="C243" s="2570"/>
      <c r="D243" s="2571"/>
      <c r="E243" s="2571"/>
      <c r="F243" s="2571"/>
      <c r="G243" s="2571"/>
      <c r="H243" s="2571"/>
      <c r="I243" s="2572"/>
      <c r="J243" s="2573"/>
      <c r="K243" s="2574"/>
      <c r="L243" s="2574"/>
      <c r="M243" s="2574"/>
      <c r="N243" s="2571"/>
      <c r="O243" s="2570"/>
      <c r="P243" s="2571"/>
      <c r="Q243" s="2571"/>
      <c r="R243" s="2571"/>
      <c r="S243" s="2571"/>
      <c r="T243" s="2571"/>
      <c r="U243" s="2571"/>
      <c r="V243" s="2549"/>
      <c r="W243" s="2549"/>
      <c r="X243" s="2458"/>
      <c r="Y243" s="2577"/>
    </row>
    <row r="244" spans="1:25">
      <c r="A244" s="2570"/>
      <c r="B244" s="2570"/>
      <c r="C244" s="2570"/>
      <c r="D244" s="2571"/>
      <c r="E244" s="2571"/>
      <c r="F244" s="2571"/>
      <c r="G244" s="2571"/>
      <c r="H244" s="2571"/>
      <c r="I244" s="2572"/>
      <c r="J244" s="2573"/>
      <c r="K244" s="2574"/>
      <c r="L244" s="2574"/>
      <c r="M244" s="2574"/>
      <c r="N244" s="2571"/>
      <c r="O244" s="2570"/>
      <c r="P244" s="2571"/>
      <c r="Q244" s="2571"/>
      <c r="R244" s="2571"/>
      <c r="S244" s="2571"/>
      <c r="T244" s="2571"/>
      <c r="U244" s="2571"/>
      <c r="V244" s="2549"/>
      <c r="W244" s="2549"/>
      <c r="X244" s="2458"/>
      <c r="Y244" s="2577"/>
    </row>
    <row r="245" spans="1:25">
      <c r="A245" s="2570"/>
      <c r="B245" s="2570"/>
      <c r="C245" s="2570"/>
      <c r="D245" s="2571"/>
      <c r="E245" s="2571"/>
      <c r="F245" s="2571"/>
      <c r="G245" s="2571"/>
      <c r="H245" s="2571"/>
      <c r="I245" s="2572"/>
      <c r="J245" s="2573"/>
      <c r="K245" s="2574"/>
      <c r="L245" s="2574"/>
      <c r="M245" s="2574"/>
      <c r="N245" s="2571"/>
      <c r="O245" s="2570"/>
      <c r="P245" s="2571"/>
      <c r="Q245" s="2571"/>
      <c r="R245" s="2571"/>
      <c r="S245" s="2571"/>
      <c r="T245" s="2571"/>
      <c r="U245" s="2571"/>
      <c r="V245" s="2549"/>
      <c r="W245" s="2549"/>
      <c r="X245" s="2458"/>
      <c r="Y245" s="2577"/>
    </row>
    <row r="246" spans="1:25">
      <c r="A246" s="2570"/>
      <c r="B246" s="2570"/>
      <c r="C246" s="2570"/>
      <c r="D246" s="2571"/>
      <c r="E246" s="2571"/>
      <c r="F246" s="2571"/>
      <c r="G246" s="2571"/>
      <c r="H246" s="2571"/>
      <c r="I246" s="2572"/>
      <c r="J246" s="2573"/>
      <c r="K246" s="2574"/>
      <c r="L246" s="2574"/>
      <c r="M246" s="2574"/>
      <c r="N246" s="2571"/>
      <c r="O246" s="2570"/>
      <c r="P246" s="2571"/>
      <c r="Q246" s="2571"/>
      <c r="R246" s="2571"/>
      <c r="S246" s="2571"/>
      <c r="T246" s="2571"/>
      <c r="U246" s="2571"/>
      <c r="V246" s="2549"/>
      <c r="W246" s="2549"/>
      <c r="X246" s="2458"/>
      <c r="Y246" s="2577"/>
    </row>
    <row r="247" spans="1:25">
      <c r="A247" s="2570"/>
      <c r="B247" s="2570"/>
      <c r="C247" s="2570"/>
      <c r="D247" s="2571"/>
      <c r="E247" s="2571"/>
      <c r="F247" s="2571"/>
      <c r="G247" s="2571"/>
      <c r="H247" s="2571"/>
      <c r="I247" s="2572"/>
      <c r="J247" s="2573"/>
      <c r="K247" s="2574"/>
      <c r="L247" s="2574"/>
      <c r="M247" s="2574"/>
      <c r="N247" s="2571"/>
      <c r="O247" s="2570"/>
      <c r="P247" s="2571"/>
      <c r="Q247" s="2571"/>
      <c r="R247" s="2571"/>
      <c r="S247" s="2571"/>
      <c r="T247" s="2571"/>
      <c r="U247" s="2571"/>
      <c r="V247" s="2549"/>
      <c r="W247" s="2549"/>
      <c r="X247" s="2458"/>
      <c r="Y247" s="2577"/>
    </row>
    <row r="248" spans="1:25">
      <c r="A248" s="2570"/>
      <c r="B248" s="2570"/>
      <c r="C248" s="2570"/>
      <c r="D248" s="2571"/>
      <c r="E248" s="2571"/>
      <c r="F248" s="2571"/>
      <c r="G248" s="2571"/>
      <c r="H248" s="2571"/>
      <c r="I248" s="2572"/>
      <c r="J248" s="2573"/>
      <c r="K248" s="2574"/>
      <c r="L248" s="2574"/>
      <c r="M248" s="2574"/>
      <c r="N248" s="2571"/>
      <c r="O248" s="2570"/>
      <c r="P248" s="2571"/>
      <c r="Q248" s="2571"/>
      <c r="R248" s="2571"/>
      <c r="S248" s="2571"/>
      <c r="T248" s="2571"/>
      <c r="U248" s="2571"/>
      <c r="V248" s="2549"/>
      <c r="W248" s="2549"/>
      <c r="X248" s="2458"/>
      <c r="Y248" s="2577"/>
    </row>
    <row r="249" spans="1:25">
      <c r="A249" s="2570"/>
      <c r="B249" s="2570"/>
      <c r="C249" s="2570"/>
      <c r="D249" s="2571"/>
      <c r="E249" s="2571"/>
      <c r="F249" s="2571"/>
      <c r="G249" s="2571"/>
      <c r="H249" s="2571"/>
      <c r="I249" s="2572"/>
      <c r="J249" s="2573"/>
      <c r="K249" s="2574"/>
      <c r="L249" s="2574"/>
      <c r="M249" s="2574"/>
      <c r="N249" s="2571"/>
      <c r="O249" s="2570"/>
      <c r="P249" s="2571"/>
      <c r="Q249" s="2571"/>
      <c r="R249" s="2571"/>
      <c r="S249" s="2571"/>
      <c r="T249" s="2571"/>
      <c r="U249" s="2571"/>
      <c r="V249" s="2549"/>
      <c r="W249" s="2549"/>
      <c r="X249" s="2458"/>
      <c r="Y249" s="2577"/>
    </row>
    <row r="250" spans="1:25">
      <c r="A250" s="2570"/>
      <c r="B250" s="2570"/>
      <c r="C250" s="2570"/>
      <c r="D250" s="2571"/>
      <c r="E250" s="2571"/>
      <c r="F250" s="2571"/>
      <c r="G250" s="2571"/>
      <c r="H250" s="2571"/>
      <c r="I250" s="2572"/>
      <c r="J250" s="2573"/>
      <c r="K250" s="2574"/>
      <c r="L250" s="2574"/>
      <c r="M250" s="2574"/>
      <c r="N250" s="2571"/>
      <c r="O250" s="2570"/>
      <c r="P250" s="2571"/>
      <c r="Q250" s="2571"/>
      <c r="R250" s="2571"/>
      <c r="S250" s="2571"/>
      <c r="T250" s="2571"/>
      <c r="U250" s="2571"/>
      <c r="V250" s="2549"/>
      <c r="W250" s="2549"/>
      <c r="X250" s="2458"/>
      <c r="Y250" s="2577"/>
    </row>
    <row r="251" spans="1:25">
      <c r="A251" s="2570"/>
      <c r="B251" s="2570"/>
      <c r="C251" s="2570"/>
      <c r="D251" s="2571"/>
      <c r="E251" s="2571"/>
      <c r="F251" s="2571"/>
      <c r="G251" s="2571"/>
      <c r="H251" s="2571"/>
      <c r="I251" s="2572"/>
      <c r="J251" s="2573"/>
      <c r="K251" s="2574"/>
      <c r="L251" s="2574"/>
      <c r="M251" s="2574"/>
      <c r="N251" s="2571"/>
      <c r="O251" s="2570"/>
      <c r="P251" s="2571"/>
      <c r="Q251" s="2571"/>
      <c r="R251" s="2571"/>
      <c r="S251" s="2571"/>
      <c r="T251" s="2571"/>
      <c r="U251" s="2571"/>
      <c r="V251" s="2549"/>
      <c r="W251" s="2549"/>
      <c r="X251" s="2458"/>
      <c r="Y251" s="2577"/>
    </row>
    <row r="252" spans="1:25">
      <c r="A252" s="2570"/>
      <c r="B252" s="2570"/>
      <c r="C252" s="2570"/>
      <c r="D252" s="2571"/>
      <c r="E252" s="2571"/>
      <c r="F252" s="2571"/>
      <c r="G252" s="2571"/>
      <c r="H252" s="2571"/>
      <c r="I252" s="2572"/>
      <c r="J252" s="2573"/>
      <c r="K252" s="2574"/>
      <c r="L252" s="2574"/>
      <c r="M252" s="2574"/>
      <c r="N252" s="2571"/>
      <c r="O252" s="2570"/>
      <c r="P252" s="2571"/>
      <c r="Q252" s="2571"/>
      <c r="R252" s="2571"/>
      <c r="S252" s="2571"/>
      <c r="T252" s="2571"/>
      <c r="U252" s="2571"/>
      <c r="V252" s="2549"/>
      <c r="W252" s="2549"/>
      <c r="X252" s="2458"/>
      <c r="Y252" s="2577"/>
    </row>
    <row r="253" spans="1:25">
      <c r="A253" s="2570"/>
      <c r="B253" s="2570"/>
      <c r="C253" s="2570"/>
      <c r="D253" s="2571"/>
      <c r="E253" s="2571"/>
      <c r="F253" s="2571"/>
      <c r="G253" s="2571"/>
      <c r="H253" s="2571"/>
      <c r="I253" s="2572"/>
      <c r="J253" s="2573"/>
      <c r="K253" s="2574"/>
      <c r="L253" s="2574"/>
      <c r="M253" s="2574"/>
      <c r="N253" s="2571"/>
      <c r="O253" s="2570"/>
      <c r="P253" s="2571"/>
      <c r="Q253" s="2571"/>
      <c r="R253" s="2571"/>
      <c r="S253" s="2571"/>
      <c r="T253" s="2571"/>
      <c r="U253" s="2571"/>
      <c r="V253" s="2549"/>
      <c r="W253" s="2549"/>
      <c r="X253" s="2458"/>
      <c r="Y253" s="2577"/>
    </row>
    <row r="254" spans="1:25">
      <c r="A254" s="2570"/>
      <c r="B254" s="2570"/>
      <c r="C254" s="2570"/>
      <c r="D254" s="2571"/>
      <c r="E254" s="2571"/>
      <c r="F254" s="2571"/>
      <c r="G254" s="2571"/>
      <c r="H254" s="2571"/>
      <c r="I254" s="2572"/>
      <c r="J254" s="2573"/>
      <c r="K254" s="2574"/>
      <c r="L254" s="2574"/>
      <c r="M254" s="2574"/>
      <c r="N254" s="2571"/>
      <c r="O254" s="2570"/>
      <c r="P254" s="2571"/>
      <c r="Q254" s="2571"/>
      <c r="R254" s="2571"/>
      <c r="S254" s="2571"/>
      <c r="T254" s="2571"/>
      <c r="U254" s="2571"/>
      <c r="V254" s="2549"/>
      <c r="W254" s="2549"/>
      <c r="X254" s="2458"/>
      <c r="Y254" s="2577"/>
    </row>
    <row r="255" spans="1:25">
      <c r="A255" s="2570"/>
      <c r="B255" s="2570"/>
      <c r="C255" s="2570"/>
      <c r="D255" s="2571"/>
      <c r="E255" s="2571"/>
      <c r="F255" s="2571"/>
      <c r="G255" s="2571"/>
      <c r="H255" s="2571"/>
      <c r="I255" s="2572"/>
      <c r="J255" s="2573"/>
      <c r="K255" s="2574"/>
      <c r="L255" s="2574"/>
      <c r="M255" s="2574"/>
      <c r="N255" s="2571"/>
      <c r="O255" s="2570"/>
      <c r="P255" s="2571"/>
      <c r="Q255" s="2571"/>
      <c r="R255" s="2571"/>
      <c r="S255" s="2571"/>
      <c r="T255" s="2571"/>
      <c r="U255" s="2571"/>
      <c r="V255" s="2549"/>
      <c r="W255" s="2549"/>
      <c r="X255" s="2458"/>
      <c r="Y255" s="2577"/>
    </row>
    <row r="256" spans="1:25">
      <c r="A256" s="2570"/>
      <c r="B256" s="2570"/>
      <c r="C256" s="2570"/>
      <c r="D256" s="2571"/>
      <c r="E256" s="2571"/>
      <c r="F256" s="2571"/>
      <c r="G256" s="2571"/>
      <c r="H256" s="2571"/>
      <c r="I256" s="2572"/>
      <c r="J256" s="2573"/>
      <c r="K256" s="2574"/>
      <c r="L256" s="2574"/>
      <c r="M256" s="2574"/>
      <c r="N256" s="2571"/>
      <c r="O256" s="2570"/>
      <c r="P256" s="2571"/>
      <c r="Q256" s="2571"/>
      <c r="R256" s="2571"/>
      <c r="S256" s="2571"/>
      <c r="T256" s="2571"/>
      <c r="U256" s="2571"/>
      <c r="V256" s="2549"/>
      <c r="W256" s="2549"/>
      <c r="X256" s="2458"/>
      <c r="Y256" s="2577"/>
    </row>
    <row r="257" spans="1:25">
      <c r="A257" s="2570"/>
      <c r="B257" s="2570"/>
      <c r="C257" s="2570"/>
      <c r="D257" s="2571"/>
      <c r="E257" s="2571"/>
      <c r="F257" s="2571"/>
      <c r="G257" s="2571"/>
      <c r="H257" s="2571"/>
      <c r="I257" s="2572"/>
      <c r="J257" s="2573"/>
      <c r="K257" s="2574"/>
      <c r="L257" s="2574"/>
      <c r="M257" s="2574"/>
      <c r="N257" s="2571"/>
      <c r="O257" s="2570"/>
      <c r="P257" s="2571"/>
      <c r="Q257" s="2571"/>
      <c r="R257" s="2571"/>
      <c r="S257" s="2571"/>
      <c r="T257" s="2571"/>
      <c r="U257" s="2571"/>
      <c r="V257" s="2549"/>
      <c r="W257" s="2549"/>
      <c r="X257" s="2458"/>
      <c r="Y257" s="2577"/>
    </row>
    <row r="258" spans="1:25">
      <c r="A258" s="2570"/>
      <c r="B258" s="2570"/>
      <c r="C258" s="2570"/>
      <c r="D258" s="2571"/>
      <c r="E258" s="2571"/>
      <c r="F258" s="2571"/>
      <c r="G258" s="2571"/>
      <c r="H258" s="2571"/>
      <c r="I258" s="2572"/>
      <c r="J258" s="2573"/>
      <c r="K258" s="2574"/>
      <c r="L258" s="2574"/>
      <c r="M258" s="2574"/>
      <c r="N258" s="2571"/>
      <c r="O258" s="2570"/>
      <c r="P258" s="2571"/>
      <c r="Q258" s="2571"/>
      <c r="R258" s="2571"/>
      <c r="S258" s="2571"/>
      <c r="T258" s="2571"/>
      <c r="U258" s="2571"/>
      <c r="V258" s="2549"/>
      <c r="W258" s="2549"/>
      <c r="X258" s="2458"/>
      <c r="Y258" s="2577"/>
    </row>
    <row r="259" spans="1:25">
      <c r="A259" s="2570"/>
      <c r="B259" s="2570"/>
      <c r="C259" s="2570"/>
      <c r="D259" s="2571"/>
      <c r="E259" s="2571"/>
      <c r="F259" s="2571"/>
      <c r="G259" s="2571"/>
      <c r="H259" s="2571"/>
      <c r="I259" s="2572"/>
      <c r="J259" s="2573"/>
      <c r="K259" s="2574"/>
      <c r="L259" s="2574"/>
      <c r="M259" s="2574"/>
      <c r="N259" s="2571"/>
      <c r="O259" s="2570"/>
      <c r="P259" s="2571"/>
      <c r="Q259" s="2571"/>
      <c r="R259" s="2571"/>
      <c r="S259" s="2571"/>
      <c r="T259" s="2571"/>
      <c r="U259" s="2571"/>
      <c r="V259" s="2549"/>
      <c r="W259" s="2549"/>
      <c r="X259" s="2458"/>
      <c r="Y259" s="2577"/>
    </row>
    <row r="260" spans="1:25">
      <c r="A260" s="2570"/>
      <c r="B260" s="2570"/>
      <c r="C260" s="2570"/>
      <c r="D260" s="2571"/>
      <c r="E260" s="2571"/>
      <c r="F260" s="2571"/>
      <c r="G260" s="2571"/>
      <c r="H260" s="2571"/>
      <c r="I260" s="2572"/>
      <c r="J260" s="2573"/>
      <c r="K260" s="2574"/>
      <c r="L260" s="2574"/>
      <c r="M260" s="2574"/>
      <c r="N260" s="2571"/>
      <c r="O260" s="2570"/>
      <c r="P260" s="2571"/>
      <c r="Q260" s="2571"/>
      <c r="R260" s="2571"/>
      <c r="S260" s="2571"/>
      <c r="T260" s="2571"/>
      <c r="U260" s="2571"/>
      <c r="V260" s="2549"/>
      <c r="W260" s="2549"/>
      <c r="X260" s="2458"/>
      <c r="Y260" s="2577"/>
    </row>
    <row r="261" spans="1:25">
      <c r="A261" s="2570"/>
      <c r="B261" s="2570"/>
      <c r="C261" s="2570"/>
      <c r="D261" s="2571"/>
      <c r="E261" s="2571"/>
      <c r="F261" s="2571"/>
      <c r="G261" s="2571"/>
      <c r="H261" s="2571"/>
      <c r="I261" s="2572"/>
      <c r="J261" s="2573"/>
      <c r="K261" s="2574"/>
      <c r="L261" s="2574"/>
      <c r="M261" s="2574"/>
      <c r="N261" s="2571"/>
      <c r="O261" s="2570"/>
      <c r="P261" s="2571"/>
      <c r="Q261" s="2571"/>
      <c r="R261" s="2571"/>
      <c r="S261" s="2571"/>
      <c r="T261" s="2571"/>
      <c r="U261" s="2571"/>
      <c r="V261" s="2549"/>
      <c r="W261" s="2549"/>
      <c r="X261" s="2458"/>
      <c r="Y261" s="2577"/>
    </row>
    <row r="262" spans="1:25">
      <c r="A262" s="2570"/>
      <c r="B262" s="2570"/>
      <c r="C262" s="2570"/>
      <c r="D262" s="2571"/>
      <c r="E262" s="2571"/>
      <c r="F262" s="2571"/>
      <c r="G262" s="2571"/>
      <c r="H262" s="2571"/>
      <c r="I262" s="2572"/>
      <c r="J262" s="2573"/>
      <c r="K262" s="2574"/>
      <c r="L262" s="2574"/>
      <c r="M262" s="2574"/>
      <c r="N262" s="2571"/>
      <c r="O262" s="2570"/>
      <c r="P262" s="2571"/>
      <c r="Q262" s="2571"/>
      <c r="R262" s="2571"/>
      <c r="S262" s="2571"/>
      <c r="T262" s="2571"/>
      <c r="U262" s="2571"/>
      <c r="V262" s="2549"/>
      <c r="W262" s="2549"/>
      <c r="X262" s="2458"/>
      <c r="Y262" s="2577"/>
    </row>
    <row r="263" spans="1:25">
      <c r="A263" s="2570"/>
      <c r="B263" s="2570"/>
      <c r="C263" s="2570"/>
      <c r="D263" s="2571"/>
      <c r="E263" s="2571"/>
      <c r="F263" s="2571"/>
      <c r="G263" s="2571"/>
      <c r="H263" s="2571"/>
      <c r="I263" s="2572"/>
      <c r="J263" s="2573"/>
      <c r="K263" s="2574"/>
      <c r="L263" s="2574"/>
      <c r="M263" s="2574"/>
      <c r="N263" s="2571"/>
      <c r="O263" s="2570"/>
      <c r="P263" s="2571"/>
      <c r="Q263" s="2571"/>
      <c r="R263" s="2571"/>
      <c r="S263" s="2571"/>
      <c r="T263" s="2571"/>
      <c r="U263" s="2571"/>
      <c r="V263" s="2549"/>
      <c r="W263" s="2549"/>
      <c r="X263" s="2458"/>
      <c r="Y263" s="2577"/>
    </row>
    <row r="264" spans="1:25">
      <c r="A264" s="2570"/>
      <c r="B264" s="2570"/>
      <c r="C264" s="2570"/>
      <c r="D264" s="2571"/>
      <c r="E264" s="2571"/>
      <c r="F264" s="2571"/>
      <c r="G264" s="2571"/>
      <c r="H264" s="2571"/>
      <c r="I264" s="2572"/>
      <c r="J264" s="2573"/>
      <c r="K264" s="2574"/>
      <c r="L264" s="2574"/>
      <c r="M264" s="2574"/>
      <c r="N264" s="2571"/>
      <c r="O264" s="2570"/>
      <c r="P264" s="2571"/>
      <c r="Q264" s="2571"/>
      <c r="R264" s="2571"/>
      <c r="S264" s="2571"/>
      <c r="T264" s="2571"/>
      <c r="U264" s="2571"/>
      <c r="V264" s="2549"/>
      <c r="W264" s="2549"/>
      <c r="X264" s="2458"/>
      <c r="Y264" s="2577"/>
    </row>
    <row r="265" spans="1:25">
      <c r="A265" s="2570"/>
      <c r="B265" s="2570"/>
      <c r="C265" s="2570"/>
      <c r="D265" s="2571"/>
      <c r="E265" s="2571"/>
      <c r="F265" s="2571"/>
      <c r="G265" s="2571"/>
      <c r="H265" s="2571"/>
      <c r="I265" s="2572"/>
      <c r="J265" s="2573"/>
      <c r="K265" s="2574"/>
      <c r="L265" s="2574"/>
      <c r="M265" s="2574"/>
      <c r="N265" s="2571"/>
      <c r="O265" s="2570"/>
      <c r="P265" s="2571"/>
      <c r="Q265" s="2571"/>
      <c r="R265" s="2571"/>
      <c r="S265" s="2571"/>
      <c r="T265" s="2571"/>
      <c r="U265" s="2571"/>
      <c r="V265" s="2549"/>
      <c r="W265" s="2549"/>
      <c r="X265" s="2458"/>
      <c r="Y265" s="2577"/>
    </row>
    <row r="266" spans="1:25">
      <c r="A266" s="2570"/>
      <c r="B266" s="2570"/>
      <c r="C266" s="2570"/>
      <c r="D266" s="2571"/>
      <c r="E266" s="2571"/>
      <c r="F266" s="2571"/>
      <c r="G266" s="2571"/>
      <c r="H266" s="2571"/>
      <c r="I266" s="2572"/>
      <c r="J266" s="2573"/>
      <c r="K266" s="2574"/>
      <c r="L266" s="2574"/>
      <c r="M266" s="2574"/>
      <c r="N266" s="2571"/>
      <c r="O266" s="2570"/>
      <c r="P266" s="2571"/>
      <c r="Q266" s="2571"/>
      <c r="R266" s="2571"/>
      <c r="S266" s="2571"/>
      <c r="T266" s="2571"/>
      <c r="U266" s="2571"/>
      <c r="V266" s="2549"/>
      <c r="W266" s="2549"/>
      <c r="X266" s="2458"/>
      <c r="Y266" s="2577"/>
    </row>
    <row r="267" spans="1:25">
      <c r="A267" s="2570"/>
      <c r="B267" s="2570"/>
      <c r="C267" s="2570"/>
      <c r="D267" s="2571"/>
      <c r="E267" s="2571"/>
      <c r="F267" s="2571"/>
      <c r="G267" s="2571"/>
      <c r="H267" s="2571"/>
      <c r="I267" s="2572"/>
      <c r="J267" s="2573"/>
      <c r="K267" s="2574"/>
      <c r="L267" s="2574"/>
      <c r="M267" s="2574"/>
      <c r="N267" s="2571"/>
      <c r="O267" s="2570"/>
      <c r="P267" s="2571"/>
      <c r="Q267" s="2571"/>
      <c r="R267" s="2571"/>
      <c r="S267" s="2571"/>
      <c r="T267" s="2571"/>
      <c r="U267" s="2571"/>
      <c r="V267" s="2549"/>
      <c r="W267" s="2549"/>
      <c r="X267" s="2458"/>
      <c r="Y267" s="2577"/>
    </row>
    <row r="268" spans="1:25">
      <c r="A268" s="2570"/>
      <c r="B268" s="2570"/>
      <c r="C268" s="2570"/>
      <c r="D268" s="2571"/>
      <c r="E268" s="2571"/>
      <c r="F268" s="2571"/>
      <c r="G268" s="2571"/>
      <c r="H268" s="2571"/>
      <c r="I268" s="2572"/>
      <c r="J268" s="2573"/>
      <c r="K268" s="2574"/>
      <c r="L268" s="2574"/>
      <c r="M268" s="2574"/>
      <c r="N268" s="2571"/>
      <c r="O268" s="2570"/>
      <c r="P268" s="2571"/>
      <c r="Q268" s="2571"/>
      <c r="R268" s="2571"/>
      <c r="S268" s="2571"/>
      <c r="T268" s="2571"/>
      <c r="U268" s="2571"/>
      <c r="V268" s="2549"/>
      <c r="W268" s="2549"/>
      <c r="X268" s="2458"/>
      <c r="Y268" s="2577"/>
    </row>
    <row r="269" spans="1:25">
      <c r="A269" s="2570"/>
      <c r="B269" s="2570"/>
      <c r="C269" s="2570"/>
      <c r="D269" s="2571"/>
      <c r="E269" s="2571"/>
      <c r="F269" s="2571"/>
      <c r="G269" s="2571"/>
      <c r="H269" s="2571"/>
      <c r="I269" s="2572"/>
      <c r="J269" s="2573"/>
      <c r="K269" s="2574"/>
      <c r="L269" s="2574"/>
      <c r="M269" s="2574"/>
      <c r="N269" s="2571"/>
      <c r="O269" s="2570"/>
      <c r="P269" s="2571"/>
      <c r="Q269" s="2571"/>
      <c r="R269" s="2571"/>
      <c r="S269" s="2571"/>
      <c r="T269" s="2571"/>
      <c r="U269" s="2571"/>
      <c r="V269" s="2549"/>
      <c r="W269" s="2549"/>
      <c r="X269" s="2458"/>
      <c r="Y269" s="2577"/>
    </row>
    <row r="270" spans="1:25">
      <c r="A270" s="2570"/>
      <c r="B270" s="2570"/>
      <c r="C270" s="2570"/>
      <c r="D270" s="2571"/>
      <c r="E270" s="2571"/>
      <c r="F270" s="2571"/>
      <c r="G270" s="2571"/>
      <c r="H270" s="2571"/>
      <c r="I270" s="2572"/>
      <c r="J270" s="2573"/>
      <c r="K270" s="2574"/>
      <c r="L270" s="2574"/>
      <c r="M270" s="2574"/>
      <c r="N270" s="2571"/>
      <c r="O270" s="2570"/>
      <c r="P270" s="2571"/>
      <c r="Q270" s="2571"/>
      <c r="R270" s="2571"/>
      <c r="S270" s="2571"/>
      <c r="T270" s="2571"/>
      <c r="U270" s="2571"/>
      <c r="V270" s="2549"/>
      <c r="W270" s="2549"/>
      <c r="X270" s="2458"/>
      <c r="Y270" s="2577"/>
    </row>
    <row r="271" spans="1:25">
      <c r="A271" s="2570"/>
      <c r="B271" s="2570"/>
      <c r="C271" s="2570"/>
      <c r="D271" s="2571"/>
      <c r="E271" s="2571"/>
      <c r="F271" s="2571"/>
      <c r="G271" s="2571"/>
      <c r="H271" s="2571"/>
      <c r="I271" s="2572"/>
      <c r="J271" s="2573"/>
      <c r="K271" s="2574"/>
      <c r="L271" s="2574"/>
      <c r="M271" s="2574"/>
      <c r="N271" s="2571"/>
      <c r="O271" s="2570"/>
      <c r="P271" s="2571"/>
      <c r="Q271" s="2571"/>
      <c r="R271" s="2571"/>
      <c r="S271" s="2571"/>
      <c r="T271" s="2571"/>
      <c r="U271" s="2571"/>
      <c r="V271" s="2549"/>
      <c r="W271" s="2549"/>
      <c r="X271" s="2458"/>
      <c r="Y271" s="2577"/>
    </row>
    <row r="272" spans="1:25">
      <c r="A272" s="2570"/>
      <c r="B272" s="2570"/>
      <c r="C272" s="2570"/>
      <c r="D272" s="2571"/>
      <c r="E272" s="2571"/>
      <c r="F272" s="2571"/>
      <c r="G272" s="2571"/>
      <c r="H272" s="2571"/>
      <c r="I272" s="2572"/>
      <c r="J272" s="2573"/>
      <c r="K272" s="2574"/>
      <c r="L272" s="2574"/>
      <c r="M272" s="2574"/>
      <c r="N272" s="2571"/>
      <c r="O272" s="2570"/>
      <c r="P272" s="2571"/>
      <c r="Q272" s="2571"/>
      <c r="R272" s="2571"/>
      <c r="S272" s="2571"/>
      <c r="T272" s="2571"/>
      <c r="U272" s="2571"/>
      <c r="V272" s="2549"/>
      <c r="W272" s="2549"/>
      <c r="X272" s="2458"/>
      <c r="Y272" s="2577"/>
    </row>
    <row r="273" spans="1:25">
      <c r="A273" s="2570"/>
      <c r="B273" s="2570"/>
      <c r="C273" s="2570"/>
      <c r="D273" s="2571"/>
      <c r="E273" s="2571"/>
      <c r="F273" s="2571"/>
      <c r="G273" s="2571"/>
      <c r="H273" s="2571"/>
      <c r="I273" s="2572"/>
      <c r="J273" s="2573"/>
      <c r="K273" s="2574"/>
      <c r="L273" s="2574"/>
      <c r="M273" s="2574"/>
      <c r="N273" s="2571"/>
      <c r="O273" s="2570"/>
      <c r="P273" s="2571"/>
      <c r="Q273" s="2571"/>
      <c r="R273" s="2571"/>
      <c r="S273" s="2571"/>
      <c r="T273" s="2571"/>
      <c r="U273" s="2571"/>
      <c r="V273" s="2549"/>
      <c r="W273" s="2549"/>
      <c r="X273" s="2458"/>
      <c r="Y273" s="2577"/>
    </row>
    <row r="274" spans="1:25">
      <c r="A274" s="2570"/>
      <c r="B274" s="2570"/>
      <c r="C274" s="2570"/>
      <c r="D274" s="2571"/>
      <c r="E274" s="2571"/>
      <c r="F274" s="2571"/>
      <c r="G274" s="2571"/>
      <c r="H274" s="2571"/>
      <c r="I274" s="2572"/>
      <c r="J274" s="2573"/>
      <c r="K274" s="2574"/>
      <c r="L274" s="2574"/>
      <c r="M274" s="2574"/>
      <c r="N274" s="2571"/>
      <c r="O274" s="2570"/>
      <c r="P274" s="2571"/>
      <c r="Q274" s="2571"/>
      <c r="R274" s="2571"/>
      <c r="S274" s="2571"/>
      <c r="T274" s="2571"/>
      <c r="U274" s="2571"/>
      <c r="V274" s="2549"/>
      <c r="W274" s="2549"/>
      <c r="X274" s="2458"/>
      <c r="Y274" s="2577"/>
    </row>
    <row r="275" spans="1:25">
      <c r="A275" s="2570"/>
      <c r="B275" s="2570"/>
      <c r="C275" s="2570"/>
      <c r="D275" s="2571"/>
      <c r="E275" s="2571"/>
      <c r="F275" s="2571"/>
      <c r="G275" s="2571"/>
      <c r="H275" s="2571"/>
      <c r="I275" s="2572"/>
      <c r="J275" s="2573"/>
      <c r="K275" s="2574"/>
      <c r="L275" s="2574"/>
      <c r="M275" s="2574"/>
      <c r="N275" s="2571"/>
      <c r="O275" s="2570"/>
      <c r="P275" s="2571"/>
      <c r="Q275" s="2571"/>
      <c r="R275" s="2571"/>
      <c r="S275" s="2571"/>
      <c r="T275" s="2571"/>
      <c r="U275" s="2571"/>
      <c r="V275" s="2549"/>
      <c r="W275" s="2549"/>
      <c r="X275" s="2458"/>
      <c r="Y275" s="2577"/>
    </row>
    <row r="276" spans="1:25">
      <c r="A276" s="2570"/>
      <c r="B276" s="2570"/>
      <c r="C276" s="2570"/>
      <c r="D276" s="2571"/>
      <c r="E276" s="2571"/>
      <c r="F276" s="2571"/>
      <c r="G276" s="2571"/>
      <c r="H276" s="2571"/>
      <c r="I276" s="2572"/>
      <c r="J276" s="2573"/>
      <c r="K276" s="2574"/>
      <c r="L276" s="2574"/>
      <c r="M276" s="2574"/>
      <c r="N276" s="2571"/>
      <c r="O276" s="2570"/>
      <c r="P276" s="2571"/>
      <c r="Q276" s="2571"/>
      <c r="R276" s="2571"/>
      <c r="S276" s="2571"/>
      <c r="T276" s="2571"/>
      <c r="U276" s="2571"/>
      <c r="V276" s="2549"/>
      <c r="W276" s="2549"/>
      <c r="X276" s="2458"/>
      <c r="Y276" s="2577"/>
    </row>
    <row r="277" spans="1:25">
      <c r="A277" s="2570"/>
      <c r="B277" s="2570"/>
      <c r="C277" s="2570"/>
      <c r="D277" s="2571"/>
      <c r="E277" s="2571"/>
      <c r="F277" s="2571"/>
      <c r="G277" s="2571"/>
      <c r="H277" s="2571"/>
      <c r="I277" s="2572"/>
      <c r="J277" s="2573"/>
      <c r="K277" s="2574"/>
      <c r="L277" s="2574"/>
      <c r="M277" s="2574"/>
      <c r="N277" s="2571"/>
      <c r="O277" s="2570"/>
      <c r="P277" s="2571"/>
      <c r="Q277" s="2571"/>
      <c r="R277" s="2571"/>
      <c r="S277" s="2571"/>
      <c r="T277" s="2571"/>
      <c r="U277" s="2571"/>
      <c r="V277" s="2549"/>
      <c r="W277" s="2549"/>
      <c r="X277" s="2458"/>
      <c r="Y277" s="2577"/>
    </row>
    <row r="278" spans="1:25">
      <c r="A278" s="2570"/>
      <c r="B278" s="2570"/>
      <c r="C278" s="2570"/>
      <c r="D278" s="2571"/>
      <c r="E278" s="2571"/>
      <c r="F278" s="2571"/>
      <c r="G278" s="2571"/>
      <c r="H278" s="2571"/>
      <c r="I278" s="2572"/>
      <c r="J278" s="2573"/>
      <c r="K278" s="2574"/>
      <c r="L278" s="2574"/>
      <c r="M278" s="2574"/>
      <c r="N278" s="2571"/>
      <c r="O278" s="2570"/>
      <c r="P278" s="2571"/>
      <c r="Q278" s="2571"/>
      <c r="R278" s="2571"/>
      <c r="S278" s="2571"/>
      <c r="T278" s="2571"/>
      <c r="U278" s="2571"/>
      <c r="V278" s="2549"/>
      <c r="W278" s="2549"/>
      <c r="X278" s="2458"/>
      <c r="Y278" s="2577"/>
    </row>
    <row r="279" spans="1:25">
      <c r="A279" s="2570"/>
      <c r="B279" s="2570"/>
      <c r="C279" s="2570"/>
      <c r="D279" s="2571"/>
      <c r="E279" s="2571"/>
      <c r="F279" s="2571"/>
      <c r="G279" s="2571"/>
      <c r="H279" s="2571"/>
      <c r="I279" s="2572"/>
      <c r="J279" s="2573"/>
      <c r="K279" s="2574"/>
      <c r="L279" s="2574"/>
      <c r="M279" s="2574"/>
      <c r="N279" s="2571"/>
      <c r="O279" s="2570"/>
      <c r="P279" s="2571"/>
      <c r="Q279" s="2571"/>
      <c r="R279" s="2571"/>
      <c r="S279" s="2571"/>
      <c r="T279" s="2571"/>
      <c r="U279" s="2571"/>
      <c r="V279" s="2549"/>
      <c r="W279" s="2549"/>
      <c r="X279" s="2458"/>
      <c r="Y279" s="2577"/>
    </row>
    <row r="280" spans="1:25">
      <c r="A280" s="2570"/>
      <c r="B280" s="2570"/>
      <c r="C280" s="2570"/>
      <c r="D280" s="2571"/>
      <c r="E280" s="2571"/>
      <c r="F280" s="2571"/>
      <c r="G280" s="2571"/>
      <c r="H280" s="2571"/>
      <c r="I280" s="2572"/>
      <c r="J280" s="2573"/>
      <c r="K280" s="2574"/>
      <c r="L280" s="2574"/>
      <c r="M280" s="2574"/>
      <c r="N280" s="2571"/>
      <c r="O280" s="2570"/>
      <c r="P280" s="2571"/>
      <c r="Q280" s="2571"/>
      <c r="R280" s="2571"/>
      <c r="S280" s="2571"/>
      <c r="T280" s="2571"/>
      <c r="U280" s="2571"/>
      <c r="V280" s="2549"/>
      <c r="W280" s="2549"/>
      <c r="X280" s="2458"/>
      <c r="Y280" s="2577"/>
    </row>
    <row r="281" spans="1:25">
      <c r="A281" s="2570"/>
      <c r="B281" s="2570"/>
      <c r="C281" s="2570"/>
      <c r="D281" s="2571"/>
      <c r="E281" s="2571"/>
      <c r="F281" s="2571"/>
      <c r="G281" s="2571"/>
      <c r="H281" s="2571"/>
      <c r="I281" s="2572"/>
      <c r="J281" s="2573"/>
      <c r="K281" s="2574"/>
      <c r="L281" s="2574"/>
      <c r="M281" s="2574"/>
      <c r="N281" s="2571"/>
      <c r="O281" s="2570"/>
      <c r="P281" s="2571"/>
      <c r="Q281" s="2571"/>
      <c r="R281" s="2571"/>
      <c r="S281" s="2571"/>
      <c r="T281" s="2571"/>
      <c r="U281" s="2571"/>
      <c r="V281" s="2549"/>
      <c r="W281" s="2549"/>
      <c r="X281" s="2458"/>
      <c r="Y281" s="2577"/>
    </row>
    <row r="282" spans="1:25">
      <c r="A282" s="2570"/>
      <c r="B282" s="2570"/>
      <c r="C282" s="2570"/>
      <c r="D282" s="2571"/>
      <c r="E282" s="2571"/>
      <c r="F282" s="2571"/>
      <c r="G282" s="2571"/>
      <c r="H282" s="2571"/>
      <c r="I282" s="2572"/>
      <c r="J282" s="2573"/>
      <c r="K282" s="2574"/>
      <c r="L282" s="2574"/>
      <c r="M282" s="2574"/>
      <c r="N282" s="2571"/>
      <c r="O282" s="2570"/>
      <c r="P282" s="2571"/>
      <c r="Q282" s="2571"/>
      <c r="R282" s="2571"/>
      <c r="S282" s="2571"/>
      <c r="T282" s="2571"/>
      <c r="U282" s="2571"/>
      <c r="V282" s="2549"/>
      <c r="W282" s="2549"/>
      <c r="X282" s="2458"/>
      <c r="Y282" s="2577"/>
    </row>
    <row r="283" spans="1:25">
      <c r="A283" s="2570"/>
      <c r="B283" s="2570"/>
      <c r="C283" s="2570"/>
      <c r="D283" s="2571"/>
      <c r="E283" s="2571"/>
      <c r="F283" s="2571"/>
      <c r="G283" s="2571"/>
      <c r="H283" s="2571"/>
      <c r="I283" s="2572"/>
      <c r="J283" s="2573"/>
      <c r="K283" s="2574"/>
      <c r="L283" s="2574"/>
      <c r="M283" s="2574"/>
      <c r="N283" s="2571"/>
      <c r="O283" s="2570"/>
      <c r="P283" s="2571"/>
      <c r="Q283" s="2571"/>
      <c r="R283" s="2571"/>
      <c r="S283" s="2571"/>
      <c r="T283" s="2571"/>
      <c r="U283" s="2571"/>
      <c r="V283" s="2549"/>
      <c r="W283" s="2549"/>
      <c r="X283" s="2458"/>
      <c r="Y283" s="2577"/>
    </row>
    <row r="284" spans="1:25">
      <c r="A284" s="2570"/>
      <c r="B284" s="2570"/>
      <c r="C284" s="2570"/>
      <c r="D284" s="2571"/>
      <c r="E284" s="2571"/>
      <c r="F284" s="2571"/>
      <c r="G284" s="2571"/>
      <c r="H284" s="2571"/>
      <c r="I284" s="2572"/>
      <c r="J284" s="2573"/>
      <c r="K284" s="2574"/>
      <c r="L284" s="2574"/>
      <c r="M284" s="2574"/>
      <c r="N284" s="2571"/>
      <c r="O284" s="2570"/>
      <c r="P284" s="2571"/>
      <c r="Q284" s="2571"/>
      <c r="R284" s="2571"/>
      <c r="S284" s="2571"/>
      <c r="T284" s="2571"/>
      <c r="U284" s="2571"/>
      <c r="V284" s="2549"/>
      <c r="W284" s="2549"/>
      <c r="X284" s="2458"/>
      <c r="Y284" s="2577"/>
    </row>
    <row r="285" spans="1:25">
      <c r="A285" s="2570"/>
      <c r="B285" s="2570"/>
      <c r="C285" s="2570"/>
      <c r="D285" s="2571"/>
      <c r="E285" s="2571"/>
      <c r="F285" s="2571"/>
      <c r="G285" s="2571"/>
      <c r="H285" s="2571"/>
      <c r="I285" s="2572"/>
      <c r="J285" s="2573"/>
      <c r="K285" s="2574"/>
      <c r="L285" s="2574"/>
      <c r="M285" s="2574"/>
      <c r="N285" s="2571"/>
      <c r="O285" s="2570"/>
      <c r="P285" s="2571"/>
      <c r="Q285" s="2571"/>
      <c r="R285" s="2571"/>
      <c r="S285" s="2571"/>
      <c r="T285" s="2571"/>
      <c r="U285" s="2571"/>
      <c r="V285" s="2549"/>
      <c r="W285" s="2549"/>
      <c r="X285" s="2458"/>
      <c r="Y285" s="2577"/>
    </row>
    <row r="286" spans="1:25">
      <c r="A286" s="2570"/>
      <c r="B286" s="2570"/>
      <c r="C286" s="2570"/>
      <c r="D286" s="2571"/>
      <c r="E286" s="2571"/>
      <c r="F286" s="2571"/>
      <c r="G286" s="2571"/>
      <c r="H286" s="2571"/>
      <c r="I286" s="2572"/>
      <c r="J286" s="2573"/>
      <c r="K286" s="2574"/>
      <c r="L286" s="2574"/>
      <c r="M286" s="2574"/>
      <c r="N286" s="2571"/>
      <c r="O286" s="2570"/>
      <c r="P286" s="2571"/>
      <c r="Q286" s="2571"/>
      <c r="R286" s="2571"/>
      <c r="S286" s="2571"/>
      <c r="T286" s="2571"/>
      <c r="U286" s="2571"/>
      <c r="V286" s="2549"/>
      <c r="W286" s="2549"/>
      <c r="X286" s="2458"/>
      <c r="Y286" s="2577"/>
    </row>
    <row r="287" spans="1:25">
      <c r="A287" s="2570"/>
      <c r="B287" s="2570"/>
      <c r="C287" s="2570"/>
      <c r="D287" s="2571"/>
      <c r="E287" s="2571"/>
      <c r="F287" s="2571"/>
      <c r="G287" s="2571"/>
      <c r="H287" s="2571"/>
      <c r="I287" s="2572"/>
      <c r="J287" s="2573"/>
      <c r="K287" s="2574"/>
      <c r="L287" s="2574"/>
      <c r="M287" s="2574"/>
      <c r="N287" s="2571"/>
      <c r="O287" s="2570"/>
      <c r="P287" s="2571"/>
      <c r="Q287" s="2571"/>
      <c r="R287" s="2571"/>
      <c r="S287" s="2571"/>
      <c r="T287" s="2571"/>
      <c r="U287" s="2571"/>
      <c r="V287" s="2549"/>
      <c r="W287" s="2549"/>
      <c r="X287" s="2458"/>
      <c r="Y287" s="2577"/>
    </row>
    <row r="288" spans="1:25">
      <c r="A288" s="2570"/>
      <c r="B288" s="2570"/>
      <c r="C288" s="2570"/>
      <c r="D288" s="2571"/>
      <c r="E288" s="2571"/>
      <c r="F288" s="2571"/>
      <c r="G288" s="2571"/>
      <c r="H288" s="2571"/>
      <c r="I288" s="2572"/>
      <c r="J288" s="2573"/>
      <c r="K288" s="2574"/>
      <c r="L288" s="2574"/>
      <c r="M288" s="2574"/>
      <c r="N288" s="2571"/>
      <c r="O288" s="2570"/>
      <c r="P288" s="2571"/>
      <c r="Q288" s="2571"/>
      <c r="R288" s="2571"/>
      <c r="S288" s="2571"/>
      <c r="T288" s="2571"/>
      <c r="U288" s="2571"/>
      <c r="V288" s="2549"/>
      <c r="W288" s="2549"/>
      <c r="X288" s="2458"/>
      <c r="Y288" s="2577"/>
    </row>
    <row r="289" spans="1:25">
      <c r="A289" s="2570"/>
      <c r="B289" s="2570"/>
      <c r="C289" s="2570"/>
      <c r="D289" s="2571"/>
      <c r="E289" s="2571"/>
      <c r="F289" s="2571"/>
      <c r="G289" s="2571"/>
      <c r="H289" s="2571"/>
      <c r="I289" s="2572"/>
      <c r="J289" s="2573"/>
      <c r="K289" s="2574"/>
      <c r="L289" s="2574"/>
      <c r="M289" s="2574"/>
      <c r="N289" s="2571"/>
      <c r="O289" s="2570"/>
      <c r="P289" s="2571"/>
      <c r="Q289" s="2571"/>
      <c r="R289" s="2571"/>
      <c r="S289" s="2571"/>
      <c r="T289" s="2571"/>
      <c r="U289" s="2571"/>
      <c r="V289" s="2549"/>
      <c r="W289" s="2549"/>
      <c r="X289" s="2458"/>
      <c r="Y289" s="2577"/>
    </row>
    <row r="290" spans="1:25">
      <c r="A290" s="2570"/>
      <c r="B290" s="2570"/>
      <c r="C290" s="2570"/>
      <c r="D290" s="2571"/>
      <c r="E290" s="2571"/>
      <c r="F290" s="2571"/>
      <c r="G290" s="2571"/>
      <c r="H290" s="2571"/>
      <c r="I290" s="2572"/>
      <c r="J290" s="2573"/>
      <c r="K290" s="2574"/>
      <c r="L290" s="2574"/>
      <c r="M290" s="2574"/>
      <c r="N290" s="2571"/>
      <c r="O290" s="2570"/>
      <c r="P290" s="2571"/>
      <c r="Q290" s="2571"/>
      <c r="R290" s="2571"/>
      <c r="S290" s="2571"/>
      <c r="T290" s="2571"/>
      <c r="U290" s="2571"/>
      <c r="V290" s="2549"/>
      <c r="W290" s="2549"/>
      <c r="X290" s="2458"/>
      <c r="Y290" s="2577"/>
    </row>
    <row r="291" spans="1:25">
      <c r="A291" s="2570"/>
      <c r="B291" s="2570"/>
      <c r="C291" s="2570"/>
      <c r="D291" s="2571"/>
      <c r="E291" s="2571"/>
      <c r="F291" s="2571"/>
      <c r="G291" s="2571"/>
      <c r="H291" s="2571"/>
      <c r="I291" s="2572"/>
      <c r="J291" s="2573"/>
      <c r="K291" s="2574"/>
      <c r="L291" s="2574"/>
      <c r="M291" s="2574"/>
      <c r="N291" s="2571"/>
      <c r="O291" s="2570"/>
      <c r="P291" s="2571"/>
      <c r="Q291" s="2571"/>
      <c r="R291" s="2571"/>
      <c r="S291" s="2571"/>
      <c r="T291" s="2571"/>
      <c r="U291" s="2571"/>
      <c r="V291" s="2549"/>
      <c r="W291" s="2549"/>
      <c r="X291" s="2458"/>
      <c r="Y291" s="2577"/>
    </row>
    <row r="292" spans="1:25">
      <c r="A292" s="2570"/>
      <c r="B292" s="2570"/>
      <c r="C292" s="2570"/>
      <c r="D292" s="2571"/>
      <c r="E292" s="2571"/>
      <c r="F292" s="2571"/>
      <c r="G292" s="2571"/>
      <c r="H292" s="2571"/>
      <c r="I292" s="2572"/>
      <c r="J292" s="2573"/>
      <c r="K292" s="2574"/>
      <c r="L292" s="2574"/>
      <c r="M292" s="2574"/>
      <c r="N292" s="2571"/>
      <c r="O292" s="2570"/>
      <c r="P292" s="2571"/>
      <c r="Q292" s="2571"/>
      <c r="R292" s="2571"/>
      <c r="S292" s="2571"/>
      <c r="T292" s="2571"/>
      <c r="U292" s="2571"/>
      <c r="V292" s="2549"/>
      <c r="W292" s="2549"/>
      <c r="X292" s="2458"/>
      <c r="Y292" s="2577"/>
    </row>
    <row r="293" spans="1:25">
      <c r="A293" s="2570"/>
      <c r="B293" s="2570"/>
      <c r="C293" s="2570"/>
      <c r="D293" s="2571"/>
      <c r="E293" s="2571"/>
      <c r="F293" s="2571"/>
      <c r="G293" s="2571"/>
      <c r="H293" s="2571"/>
      <c r="I293" s="2572"/>
      <c r="J293" s="2573"/>
      <c r="K293" s="2574"/>
      <c r="L293" s="2574"/>
      <c r="M293" s="2574"/>
      <c r="N293" s="2571"/>
      <c r="O293" s="2570"/>
      <c r="P293" s="2571"/>
      <c r="Q293" s="2571"/>
      <c r="R293" s="2571"/>
      <c r="S293" s="2571"/>
      <c r="T293" s="2571"/>
      <c r="U293" s="2571"/>
      <c r="V293" s="2549"/>
      <c r="W293" s="2549"/>
      <c r="X293" s="2458"/>
      <c r="Y293" s="2577"/>
    </row>
    <row r="294" spans="1:25">
      <c r="A294" s="2570"/>
      <c r="B294" s="2570"/>
      <c r="C294" s="2570"/>
      <c r="D294" s="2571"/>
      <c r="E294" s="2571"/>
      <c r="F294" s="2571"/>
      <c r="G294" s="2571"/>
      <c r="H294" s="2571"/>
      <c r="I294" s="2572"/>
      <c r="J294" s="2573"/>
      <c r="K294" s="2574"/>
      <c r="L294" s="2574"/>
      <c r="M294" s="2574"/>
      <c r="N294" s="2571"/>
      <c r="O294" s="2570"/>
      <c r="P294" s="2571"/>
      <c r="Q294" s="2571"/>
      <c r="R294" s="2571"/>
      <c r="S294" s="2571"/>
      <c r="T294" s="2571"/>
      <c r="U294" s="2571"/>
      <c r="V294" s="2549"/>
      <c r="W294" s="2549"/>
      <c r="X294" s="2458"/>
      <c r="Y294" s="2577"/>
    </row>
    <row r="295" spans="1:25">
      <c r="A295" s="2570"/>
      <c r="B295" s="2570"/>
      <c r="C295" s="2570"/>
      <c r="D295" s="2571"/>
      <c r="E295" s="2571"/>
      <c r="F295" s="2571"/>
      <c r="G295" s="2571"/>
      <c r="H295" s="2571"/>
      <c r="I295" s="2572"/>
      <c r="J295" s="2573"/>
      <c r="K295" s="2574"/>
      <c r="L295" s="2574"/>
      <c r="M295" s="2574"/>
      <c r="N295" s="2571"/>
      <c r="O295" s="2570"/>
      <c r="P295" s="2571"/>
      <c r="Q295" s="2571"/>
      <c r="R295" s="2571"/>
      <c r="S295" s="2571"/>
      <c r="T295" s="2571"/>
      <c r="U295" s="2571"/>
      <c r="V295" s="2549"/>
      <c r="W295" s="2549"/>
      <c r="X295" s="2458"/>
      <c r="Y295" s="2577"/>
    </row>
    <row r="296" spans="1:25">
      <c r="A296" s="2570"/>
      <c r="B296" s="2570"/>
      <c r="C296" s="2570"/>
      <c r="D296" s="2571"/>
      <c r="E296" s="2571"/>
      <c r="F296" s="2571"/>
      <c r="G296" s="2571"/>
      <c r="H296" s="2571"/>
      <c r="I296" s="2572"/>
      <c r="J296" s="2573"/>
      <c r="K296" s="2574"/>
      <c r="L296" s="2574"/>
      <c r="M296" s="2574"/>
      <c r="N296" s="2571"/>
      <c r="O296" s="2570"/>
      <c r="P296" s="2571"/>
      <c r="Q296" s="2571"/>
      <c r="R296" s="2571"/>
      <c r="S296" s="2571"/>
      <c r="T296" s="2571"/>
      <c r="U296" s="2571"/>
      <c r="V296" s="2549"/>
      <c r="W296" s="2549"/>
      <c r="X296" s="2458"/>
      <c r="Y296" s="2577"/>
    </row>
    <row r="297" spans="1:25">
      <c r="A297" s="2570"/>
      <c r="B297" s="2570"/>
      <c r="C297" s="2570"/>
      <c r="D297" s="2571"/>
      <c r="E297" s="2571"/>
      <c r="F297" s="2571"/>
      <c r="G297" s="2571"/>
      <c r="H297" s="2571"/>
      <c r="I297" s="2572"/>
      <c r="J297" s="2573"/>
      <c r="K297" s="2574"/>
      <c r="L297" s="2574"/>
      <c r="M297" s="2574"/>
      <c r="N297" s="2571"/>
      <c r="O297" s="2570"/>
      <c r="P297" s="2571"/>
      <c r="Q297" s="2571"/>
      <c r="R297" s="2571"/>
      <c r="S297" s="2571"/>
      <c r="T297" s="2571"/>
      <c r="U297" s="2571"/>
      <c r="V297" s="2549"/>
      <c r="W297" s="2549"/>
      <c r="X297" s="2458"/>
      <c r="Y297" s="2577"/>
    </row>
    <row r="298" spans="1:25">
      <c r="A298" s="2570"/>
      <c r="B298" s="2570"/>
      <c r="C298" s="2570"/>
      <c r="D298" s="2571"/>
      <c r="E298" s="2571"/>
      <c r="F298" s="2571"/>
      <c r="G298" s="2571"/>
      <c r="H298" s="2571"/>
      <c r="I298" s="2572"/>
      <c r="J298" s="2573"/>
      <c r="K298" s="2574"/>
      <c r="L298" s="2574"/>
      <c r="M298" s="2574"/>
      <c r="N298" s="2571"/>
      <c r="O298" s="2570"/>
      <c r="P298" s="2571"/>
      <c r="Q298" s="2571"/>
      <c r="R298" s="2571"/>
      <c r="S298" s="2571"/>
      <c r="T298" s="2571"/>
      <c r="U298" s="2571"/>
      <c r="V298" s="2549"/>
      <c r="W298" s="2549"/>
      <c r="X298" s="2458"/>
      <c r="Y298" s="2577"/>
    </row>
    <row r="299" spans="1:25">
      <c r="A299" s="2570"/>
      <c r="B299" s="2570"/>
      <c r="C299" s="2570"/>
      <c r="D299" s="2571"/>
      <c r="E299" s="2571"/>
      <c r="F299" s="2571"/>
      <c r="G299" s="2571"/>
      <c r="H299" s="2571"/>
      <c r="I299" s="2572"/>
      <c r="J299" s="2573"/>
      <c r="K299" s="2574"/>
      <c r="L299" s="2574"/>
      <c r="M299" s="2574"/>
      <c r="N299" s="2571"/>
      <c r="O299" s="2570"/>
      <c r="P299" s="2571"/>
      <c r="Q299" s="2571"/>
      <c r="R299" s="2571"/>
      <c r="S299" s="2571"/>
      <c r="T299" s="2571"/>
      <c r="U299" s="2571"/>
      <c r="V299" s="2549"/>
      <c r="W299" s="2549"/>
      <c r="X299" s="2458"/>
      <c r="Y299" s="2577"/>
    </row>
    <row r="300" spans="1:25">
      <c r="A300" s="2570"/>
      <c r="B300" s="2570"/>
      <c r="C300" s="2570"/>
      <c r="D300" s="2571"/>
      <c r="E300" s="2571"/>
      <c r="F300" s="2571"/>
      <c r="G300" s="2571"/>
      <c r="H300" s="2571"/>
      <c r="I300" s="2572"/>
      <c r="J300" s="2573"/>
      <c r="K300" s="2574"/>
      <c r="L300" s="2574"/>
      <c r="M300" s="2574"/>
      <c r="N300" s="2571"/>
      <c r="O300" s="2570"/>
      <c r="P300" s="2571"/>
      <c r="Q300" s="2571"/>
      <c r="R300" s="2571"/>
      <c r="S300" s="2571"/>
      <c r="T300" s="2571"/>
      <c r="U300" s="2571"/>
      <c r="V300" s="2549"/>
      <c r="W300" s="2549"/>
      <c r="X300" s="2458"/>
      <c r="Y300" s="2577"/>
    </row>
    <row r="301" spans="1:25">
      <c r="A301" s="2570"/>
      <c r="B301" s="2570"/>
      <c r="C301" s="2570"/>
      <c r="D301" s="2571"/>
      <c r="E301" s="2571"/>
      <c r="F301" s="2571"/>
      <c r="G301" s="2571"/>
      <c r="H301" s="2571"/>
      <c r="I301" s="2572"/>
      <c r="J301" s="2573"/>
      <c r="K301" s="2574"/>
      <c r="L301" s="2574"/>
      <c r="M301" s="2574"/>
      <c r="N301" s="2571"/>
      <c r="O301" s="2570"/>
      <c r="P301" s="2571"/>
      <c r="Q301" s="2571"/>
      <c r="R301" s="2571"/>
      <c r="S301" s="2571"/>
      <c r="T301" s="2571"/>
      <c r="U301" s="2571"/>
      <c r="V301" s="2549"/>
      <c r="W301" s="2549"/>
      <c r="X301" s="2458"/>
      <c r="Y301" s="2577"/>
    </row>
  </sheetData>
  <autoFilter ref="A5:Y6" xr:uid="{00000000-0009-0000-0000-00000D000000}"/>
  <mergeCells count="265">
    <mergeCell ref="A216:A223"/>
    <mergeCell ref="B216:B223"/>
    <mergeCell ref="C216:C223"/>
    <mergeCell ref="D216:D223"/>
    <mergeCell ref="O216:O223"/>
    <mergeCell ref="Y216:Y223"/>
    <mergeCell ref="A203:A208"/>
    <mergeCell ref="B203:B208"/>
    <mergeCell ref="C203:C208"/>
    <mergeCell ref="D203:D208"/>
    <mergeCell ref="O203:O208"/>
    <mergeCell ref="Y203:Y208"/>
    <mergeCell ref="A210:A211"/>
    <mergeCell ref="B210:B211"/>
    <mergeCell ref="C210:C211"/>
    <mergeCell ref="D210:D211"/>
    <mergeCell ref="O210:O211"/>
    <mergeCell ref="Y210:Y211"/>
    <mergeCell ref="A197:A201"/>
    <mergeCell ref="B197:B201"/>
    <mergeCell ref="C197:C201"/>
    <mergeCell ref="D197:D201"/>
    <mergeCell ref="O197:O201"/>
    <mergeCell ref="Y197:Y201"/>
    <mergeCell ref="A191:A195"/>
    <mergeCell ref="B191:B195"/>
    <mergeCell ref="C191:C195"/>
    <mergeCell ref="D191:D195"/>
    <mergeCell ref="O191:O195"/>
    <mergeCell ref="Y191:Y195"/>
    <mergeCell ref="G198:G200"/>
    <mergeCell ref="H198:H200"/>
    <mergeCell ref="Y180:Y186"/>
    <mergeCell ref="A180:A186"/>
    <mergeCell ref="B180:B186"/>
    <mergeCell ref="C180:C186"/>
    <mergeCell ref="D180:D186"/>
    <mergeCell ref="O180:O186"/>
    <mergeCell ref="A188:A189"/>
    <mergeCell ref="B188:B189"/>
    <mergeCell ref="C188:C189"/>
    <mergeCell ref="D188:D189"/>
    <mergeCell ref="O188:O189"/>
    <mergeCell ref="Y188:Y189"/>
    <mergeCell ref="Y169:Y174"/>
    <mergeCell ref="A176:A177"/>
    <mergeCell ref="B176:B177"/>
    <mergeCell ref="C176:C177"/>
    <mergeCell ref="D176:D177"/>
    <mergeCell ref="O176:O177"/>
    <mergeCell ref="Y176:Y177"/>
    <mergeCell ref="A169:A174"/>
    <mergeCell ref="B169:B174"/>
    <mergeCell ref="C169:C174"/>
    <mergeCell ref="D169:D174"/>
    <mergeCell ref="O169:O174"/>
    <mergeCell ref="Y161:Y164"/>
    <mergeCell ref="A166:A168"/>
    <mergeCell ref="B166:B168"/>
    <mergeCell ref="C166:C168"/>
    <mergeCell ref="D166:D168"/>
    <mergeCell ref="O166:O168"/>
    <mergeCell ref="Y166:Y168"/>
    <mergeCell ref="A161:A164"/>
    <mergeCell ref="B161:B164"/>
    <mergeCell ref="C161:C164"/>
    <mergeCell ref="D161:D164"/>
    <mergeCell ref="O161:O164"/>
    <mergeCell ref="Y151:Y155"/>
    <mergeCell ref="A157:A159"/>
    <mergeCell ref="B157:B159"/>
    <mergeCell ref="C157:C159"/>
    <mergeCell ref="D157:D159"/>
    <mergeCell ref="O157:O159"/>
    <mergeCell ref="Y157:Y159"/>
    <mergeCell ref="A151:A155"/>
    <mergeCell ref="B151:B155"/>
    <mergeCell ref="C151:C155"/>
    <mergeCell ref="D151:D155"/>
    <mergeCell ref="O151:O155"/>
    <mergeCell ref="Y139:Y143"/>
    <mergeCell ref="A145:A148"/>
    <mergeCell ref="B145:B148"/>
    <mergeCell ref="C145:C148"/>
    <mergeCell ref="D145:D148"/>
    <mergeCell ref="O145:O148"/>
    <mergeCell ref="Y145:Y148"/>
    <mergeCell ref="A139:A143"/>
    <mergeCell ref="B139:B143"/>
    <mergeCell ref="C139:C143"/>
    <mergeCell ref="D139:D143"/>
    <mergeCell ref="O139:O143"/>
    <mergeCell ref="Y130:Y133"/>
    <mergeCell ref="A135:A137"/>
    <mergeCell ref="B135:B137"/>
    <mergeCell ref="C135:C137"/>
    <mergeCell ref="D135:D137"/>
    <mergeCell ref="O135:O137"/>
    <mergeCell ref="Y135:Y137"/>
    <mergeCell ref="G136:G137"/>
    <mergeCell ref="A130:A133"/>
    <mergeCell ref="B130:B133"/>
    <mergeCell ref="C130:C133"/>
    <mergeCell ref="D130:D133"/>
    <mergeCell ref="O130:O133"/>
    <mergeCell ref="Y120:Y123"/>
    <mergeCell ref="A125:A128"/>
    <mergeCell ref="B125:B128"/>
    <mergeCell ref="C125:C128"/>
    <mergeCell ref="D125:D128"/>
    <mergeCell ref="O125:O128"/>
    <mergeCell ref="Y125:Y128"/>
    <mergeCell ref="A120:A123"/>
    <mergeCell ref="B120:B123"/>
    <mergeCell ref="C120:C123"/>
    <mergeCell ref="D120:D123"/>
    <mergeCell ref="O120:O123"/>
    <mergeCell ref="Y110:Y113"/>
    <mergeCell ref="A115:A118"/>
    <mergeCell ref="B115:B118"/>
    <mergeCell ref="C115:C118"/>
    <mergeCell ref="D115:D118"/>
    <mergeCell ref="O115:O118"/>
    <mergeCell ref="Y115:Y118"/>
    <mergeCell ref="A110:A113"/>
    <mergeCell ref="B110:B113"/>
    <mergeCell ref="C110:C113"/>
    <mergeCell ref="D110:D113"/>
    <mergeCell ref="O110:O113"/>
    <mergeCell ref="Y101:Y104"/>
    <mergeCell ref="A106:A108"/>
    <mergeCell ref="B106:B108"/>
    <mergeCell ref="C106:C108"/>
    <mergeCell ref="D106:D108"/>
    <mergeCell ref="O106:O108"/>
    <mergeCell ref="Y106:Y108"/>
    <mergeCell ref="A101:A104"/>
    <mergeCell ref="B101:B104"/>
    <mergeCell ref="C101:C104"/>
    <mergeCell ref="D101:D104"/>
    <mergeCell ref="O101:O104"/>
    <mergeCell ref="Y92:Y94"/>
    <mergeCell ref="G93:G94"/>
    <mergeCell ref="H93:H94"/>
    <mergeCell ref="A96:A99"/>
    <mergeCell ref="B96:B99"/>
    <mergeCell ref="C96:C99"/>
    <mergeCell ref="D96:D99"/>
    <mergeCell ref="O96:O99"/>
    <mergeCell ref="Y96:Y99"/>
    <mergeCell ref="A92:A94"/>
    <mergeCell ref="B92:B94"/>
    <mergeCell ref="C92:C94"/>
    <mergeCell ref="D92:D94"/>
    <mergeCell ref="O92:O94"/>
    <mergeCell ref="Y81:Y84"/>
    <mergeCell ref="A86:A90"/>
    <mergeCell ref="B86:B90"/>
    <mergeCell ref="C86:C90"/>
    <mergeCell ref="D86:D90"/>
    <mergeCell ref="O86:O90"/>
    <mergeCell ref="Y86:Y90"/>
    <mergeCell ref="A81:A84"/>
    <mergeCell ref="B81:B84"/>
    <mergeCell ref="C81:C84"/>
    <mergeCell ref="D81:D84"/>
    <mergeCell ref="O81:O84"/>
    <mergeCell ref="Y69:Y71"/>
    <mergeCell ref="A74:A77"/>
    <mergeCell ref="B74:B77"/>
    <mergeCell ref="C74:C77"/>
    <mergeCell ref="D74:D77"/>
    <mergeCell ref="O74:O77"/>
    <mergeCell ref="Y74:Y77"/>
    <mergeCell ref="A69:A71"/>
    <mergeCell ref="B69:B71"/>
    <mergeCell ref="C69:C71"/>
    <mergeCell ref="D69:D71"/>
    <mergeCell ref="O69:O71"/>
    <mergeCell ref="Y54:Y57"/>
    <mergeCell ref="A60:A66"/>
    <mergeCell ref="B60:B66"/>
    <mergeCell ref="C60:C66"/>
    <mergeCell ref="D60:D66"/>
    <mergeCell ref="O60:O66"/>
    <mergeCell ref="Y60:Y66"/>
    <mergeCell ref="A53:A57"/>
    <mergeCell ref="B53:B57"/>
    <mergeCell ref="C53:C57"/>
    <mergeCell ref="D53:D57"/>
    <mergeCell ref="O53:O57"/>
    <mergeCell ref="Y38:Y44"/>
    <mergeCell ref="A47:A50"/>
    <mergeCell ref="B47:B50"/>
    <mergeCell ref="C47:C50"/>
    <mergeCell ref="D47:D50"/>
    <mergeCell ref="O47:O50"/>
    <mergeCell ref="Y47:Y50"/>
    <mergeCell ref="A38:A44"/>
    <mergeCell ref="B38:B44"/>
    <mergeCell ref="C38:C44"/>
    <mergeCell ref="D38:D44"/>
    <mergeCell ref="O38:O44"/>
    <mergeCell ref="Y25:Y29"/>
    <mergeCell ref="A33:A35"/>
    <mergeCell ref="B33:B35"/>
    <mergeCell ref="C33:C35"/>
    <mergeCell ref="D33:D35"/>
    <mergeCell ref="O33:O35"/>
    <mergeCell ref="Y33:Y35"/>
    <mergeCell ref="A25:A29"/>
    <mergeCell ref="B25:B29"/>
    <mergeCell ref="C25:C29"/>
    <mergeCell ref="D25:D29"/>
    <mergeCell ref="O25:O29"/>
    <mergeCell ref="Y17:Y19"/>
    <mergeCell ref="A20:A22"/>
    <mergeCell ref="B20:B22"/>
    <mergeCell ref="C20:C22"/>
    <mergeCell ref="D20:D22"/>
    <mergeCell ref="O20:O22"/>
    <mergeCell ref="Y20:Y22"/>
    <mergeCell ref="A17:A19"/>
    <mergeCell ref="B17:B19"/>
    <mergeCell ref="C17:C19"/>
    <mergeCell ref="D17:D19"/>
    <mergeCell ref="O17:O19"/>
    <mergeCell ref="L5:L6"/>
    <mergeCell ref="A11:A12"/>
    <mergeCell ref="B11:B12"/>
    <mergeCell ref="C11:C12"/>
    <mergeCell ref="D11:D12"/>
    <mergeCell ref="O11:O12"/>
    <mergeCell ref="V3:W3"/>
    <mergeCell ref="K5:K6"/>
    <mergeCell ref="P5:P6"/>
    <mergeCell ref="Q5:Q6"/>
    <mergeCell ref="W5:W6"/>
    <mergeCell ref="I5:I6"/>
    <mergeCell ref="J5:J6"/>
    <mergeCell ref="N5:N6"/>
    <mergeCell ref="M229:N229"/>
    <mergeCell ref="A1:X1"/>
    <mergeCell ref="M5:M6"/>
    <mergeCell ref="R5:R6"/>
    <mergeCell ref="O5:O6"/>
    <mergeCell ref="A4:Y4"/>
    <mergeCell ref="A5:A6"/>
    <mergeCell ref="B5:B6"/>
    <mergeCell ref="C5:C6"/>
    <mergeCell ref="U5:U6"/>
    <mergeCell ref="V5:V6"/>
    <mergeCell ref="A2:Y2"/>
    <mergeCell ref="A3:B3"/>
    <mergeCell ref="C3:R3"/>
    <mergeCell ref="S3:U3"/>
    <mergeCell ref="G5:G6"/>
    <mergeCell ref="H5:H6"/>
    <mergeCell ref="D5:D6"/>
    <mergeCell ref="E5:E6"/>
    <mergeCell ref="F5:F6"/>
    <mergeCell ref="X5:X6"/>
    <mergeCell ref="Y5:Y6"/>
    <mergeCell ref="S5:S6"/>
    <mergeCell ref="T5:T6"/>
  </mergeCells>
  <dataValidations count="1">
    <dataValidation type="decimal" operator="greaterThanOrEqual" allowBlank="1" showErrorMessage="1" sqref="K17:K23 K29 I30:I32 K61:K73 K82 H87 K84:K91 K102:K108 K113:K114 K125:K128 K134 K176:K179 L180 P180 L188 P188" xr:uid="{D25D3938-2AB6-4762-B175-98B5F338C9DA}">
      <formula1>-1000000000000</formula1>
    </dataValidation>
  </dataValidation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262"/>
  <sheetViews>
    <sheetView topLeftCell="D258" zoomScale="60" zoomScaleNormal="60" zoomScaleSheetLayoutView="100" workbookViewId="0">
      <selection activeCell="C258" sqref="C258"/>
    </sheetView>
  </sheetViews>
  <sheetFormatPr baseColWidth="10" defaultColWidth="11.42578125" defaultRowHeight="16.5"/>
  <cols>
    <col min="1" max="1" width="10.5703125" style="2" bestFit="1" customWidth="1"/>
    <col min="2" max="2" width="11.5703125" style="3" bestFit="1" customWidth="1"/>
    <col min="3" max="3" width="6.28515625" style="2" bestFit="1" customWidth="1"/>
    <col min="4" max="4" width="25.85546875" style="3" customWidth="1"/>
    <col min="5" max="5" width="24" style="3" bestFit="1" customWidth="1"/>
    <col min="6" max="6" width="13" style="3" bestFit="1" customWidth="1"/>
    <col min="7" max="7" width="32.28515625" style="3" bestFit="1" customWidth="1"/>
    <col min="8" max="8" width="12.7109375" style="3" bestFit="1" customWidth="1"/>
    <col min="9" max="9" width="30.85546875" style="3" bestFit="1" customWidth="1"/>
    <col min="10" max="10" width="20.85546875" style="2" bestFit="1" customWidth="1"/>
    <col min="11" max="11" width="12.5703125" style="16" bestFit="1" customWidth="1"/>
    <col min="12" max="12" width="12.7109375" style="16" bestFit="1" customWidth="1"/>
    <col min="13" max="13" width="13" style="16" bestFit="1" customWidth="1"/>
    <col min="14" max="14" width="33.42578125" style="3" bestFit="1" customWidth="1"/>
    <col min="15" max="15" width="11.140625" style="2" bestFit="1" customWidth="1"/>
    <col min="16" max="16" width="17.5703125" style="3" bestFit="1" customWidth="1"/>
    <col min="17" max="17" width="18.42578125" style="3" bestFit="1" customWidth="1"/>
    <col min="18" max="18" width="17.28515625" style="3" bestFit="1" customWidth="1"/>
    <col min="19" max="19" width="17" style="3" bestFit="1" customWidth="1"/>
    <col min="20" max="20" width="12.5703125" style="3" bestFit="1" customWidth="1"/>
    <col min="21" max="21" width="10.5703125" style="3" bestFit="1" customWidth="1"/>
    <col min="22" max="23" width="10.7109375" style="3" customWidth="1"/>
    <col min="24" max="24" width="139.140625" style="3" bestFit="1" customWidth="1"/>
    <col min="25" max="25" width="37.7109375" style="17" bestFit="1"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ht="25.5" customHeight="1">
      <c r="A2" s="2951"/>
      <c r="B2" s="2952"/>
      <c r="C2" s="2952"/>
      <c r="D2" s="2952"/>
      <c r="E2" s="2952"/>
      <c r="F2" s="2952"/>
      <c r="G2" s="2952"/>
      <c r="H2" s="2952"/>
      <c r="I2" s="2952"/>
      <c r="J2" s="2952"/>
      <c r="K2" s="2952"/>
      <c r="L2" s="2952"/>
      <c r="M2" s="2952"/>
      <c r="N2" s="2952"/>
      <c r="O2" s="2952"/>
      <c r="P2" s="2952"/>
      <c r="Q2" s="2952"/>
      <c r="R2" s="2952"/>
      <c r="S2" s="2952"/>
      <c r="T2" s="2952"/>
      <c r="U2" s="2952"/>
      <c r="V2" s="2952"/>
      <c r="W2" s="2952"/>
      <c r="X2" s="2952"/>
      <c r="Y2" s="2953"/>
    </row>
    <row r="3" spans="1:25" s="27" customFormat="1" ht="24.95" customHeight="1">
      <c r="A3" s="2954" t="s">
        <v>73</v>
      </c>
      <c r="B3" s="2954"/>
      <c r="C3" s="2954" t="s">
        <v>81</v>
      </c>
      <c r="D3" s="2954"/>
      <c r="E3" s="2954"/>
      <c r="F3" s="2954"/>
      <c r="G3" s="2954"/>
      <c r="H3" s="2954"/>
      <c r="I3" s="2954"/>
      <c r="J3" s="2954"/>
      <c r="K3" s="2954"/>
      <c r="L3" s="2954"/>
      <c r="M3" s="2954"/>
      <c r="N3" s="2954"/>
      <c r="O3" s="2954"/>
      <c r="P3" s="2954"/>
      <c r="Q3" s="2954"/>
      <c r="R3" s="2954"/>
      <c r="S3" s="2834" t="s">
        <v>17</v>
      </c>
      <c r="T3" s="2834"/>
      <c r="U3" s="2834"/>
      <c r="V3" s="2835">
        <v>45473</v>
      </c>
      <c r="W3" s="2834"/>
      <c r="X3" s="40" t="s">
        <v>5</v>
      </c>
      <c r="Y3" s="42">
        <v>2024</v>
      </c>
    </row>
    <row r="4" spans="1:25" ht="25.5" customHeight="1">
      <c r="A4" s="2950"/>
      <c r="B4" s="2950"/>
      <c r="C4" s="2950"/>
      <c r="D4" s="2950"/>
      <c r="E4" s="2950"/>
      <c r="F4" s="2950"/>
      <c r="G4" s="2950"/>
      <c r="H4" s="2950"/>
      <c r="I4" s="2950"/>
      <c r="J4" s="2950"/>
      <c r="K4" s="2950"/>
      <c r="L4" s="2950"/>
      <c r="M4" s="2950"/>
      <c r="N4" s="2950"/>
      <c r="O4" s="2950"/>
      <c r="P4" s="2950"/>
      <c r="Q4" s="2950"/>
      <c r="R4" s="2950"/>
      <c r="S4" s="2950"/>
      <c r="T4" s="2950"/>
      <c r="U4" s="2950"/>
      <c r="V4" s="2950"/>
      <c r="W4" s="2950"/>
      <c r="X4" s="2950"/>
      <c r="Y4" s="2950"/>
    </row>
    <row r="5" spans="1:25"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8" t="s">
        <v>12</v>
      </c>
      <c r="O5" s="2838" t="s">
        <v>72</v>
      </c>
      <c r="P5" s="2839" t="s">
        <v>1</v>
      </c>
      <c r="Q5" s="2838" t="s">
        <v>13</v>
      </c>
      <c r="R5" s="2838" t="s">
        <v>14</v>
      </c>
      <c r="S5" s="2838" t="s">
        <v>16</v>
      </c>
      <c r="T5" s="2838" t="s">
        <v>15</v>
      </c>
      <c r="U5" s="2838" t="s">
        <v>89</v>
      </c>
      <c r="V5" s="2839" t="s">
        <v>6</v>
      </c>
      <c r="W5" s="2839" t="s">
        <v>7</v>
      </c>
      <c r="X5" s="2838" t="s">
        <v>0</v>
      </c>
      <c r="Y5" s="2838" t="s">
        <v>76</v>
      </c>
    </row>
    <row r="6" spans="1:25" ht="42.75" customHeight="1">
      <c r="A6" s="3006"/>
      <c r="B6" s="3006"/>
      <c r="C6" s="3006"/>
      <c r="D6" s="3006"/>
      <c r="E6" s="3006"/>
      <c r="F6" s="3006"/>
      <c r="G6" s="3006"/>
      <c r="H6" s="3006"/>
      <c r="I6" s="3006"/>
      <c r="J6" s="3006"/>
      <c r="K6" s="3006"/>
      <c r="L6" s="3006"/>
      <c r="M6" s="2848"/>
      <c r="N6" s="2848"/>
      <c r="O6" s="2848"/>
      <c r="P6" s="3008"/>
      <c r="Q6" s="2848"/>
      <c r="R6" s="2848"/>
      <c r="S6" s="2848"/>
      <c r="T6" s="2848"/>
      <c r="U6" s="2848"/>
      <c r="V6" s="3008"/>
      <c r="W6" s="3008"/>
      <c r="X6" s="2848"/>
      <c r="Y6" s="2848"/>
    </row>
    <row r="7" spans="1:25">
      <c r="A7" s="563"/>
      <c r="B7" s="563">
        <v>51</v>
      </c>
      <c r="C7" s="563" t="s">
        <v>100</v>
      </c>
      <c r="D7" s="564" t="s">
        <v>134</v>
      </c>
      <c r="E7" s="565"/>
      <c r="F7" s="566"/>
      <c r="G7" s="567"/>
      <c r="H7" s="566"/>
      <c r="I7" s="567"/>
      <c r="J7" s="567"/>
      <c r="K7" s="566"/>
      <c r="L7" s="566"/>
      <c r="M7" s="568"/>
      <c r="N7" s="569"/>
      <c r="O7" s="569"/>
      <c r="P7" s="570"/>
      <c r="Q7" s="563"/>
      <c r="R7" s="563"/>
      <c r="S7" s="563"/>
      <c r="T7" s="563"/>
      <c r="U7" s="563"/>
      <c r="V7" s="565"/>
      <c r="W7" s="565"/>
      <c r="X7" s="567"/>
      <c r="Y7" s="571"/>
    </row>
    <row r="8" spans="1:25">
      <c r="A8" s="1466"/>
      <c r="B8" s="1466">
        <v>5104</v>
      </c>
      <c r="C8" s="1466" t="s">
        <v>101</v>
      </c>
      <c r="D8" s="1467" t="s">
        <v>1950</v>
      </c>
      <c r="E8" s="1468"/>
      <c r="F8" s="1469"/>
      <c r="G8" s="1470"/>
      <c r="H8" s="1469"/>
      <c r="I8" s="1470"/>
      <c r="J8" s="1471"/>
      <c r="K8" s="1469"/>
      <c r="L8" s="1472"/>
      <c r="M8" s="1473"/>
      <c r="N8" s="1474"/>
      <c r="O8" s="1474"/>
      <c r="P8" s="1475"/>
      <c r="Q8" s="1466"/>
      <c r="R8" s="1466"/>
      <c r="S8" s="1466"/>
      <c r="T8" s="1466"/>
      <c r="U8" s="1466"/>
      <c r="V8" s="1468"/>
      <c r="W8" s="1468"/>
      <c r="X8" s="1470"/>
      <c r="Y8" s="1476"/>
    </row>
    <row r="9" spans="1:25" ht="16.5" customHeight="1">
      <c r="A9" s="1477"/>
      <c r="B9" s="1477">
        <v>5104001</v>
      </c>
      <c r="C9" s="1477" t="s">
        <v>102</v>
      </c>
      <c r="D9" s="1478" t="s">
        <v>1951</v>
      </c>
      <c r="E9" s="1479"/>
      <c r="F9" s="1480"/>
      <c r="G9" s="1481"/>
      <c r="H9" s="1482"/>
      <c r="I9" s="1481"/>
      <c r="J9" s="1483"/>
      <c r="K9" s="1484"/>
      <c r="L9" s="1484"/>
      <c r="M9" s="1485"/>
      <c r="N9" s="1486"/>
      <c r="O9" s="1486"/>
      <c r="P9" s="1487"/>
      <c r="Q9" s="1477"/>
      <c r="R9" s="1477"/>
      <c r="S9" s="1477"/>
      <c r="T9" s="1477"/>
      <c r="U9" s="1477"/>
      <c r="V9" s="1479"/>
      <c r="W9" s="1479"/>
      <c r="X9" s="1483"/>
      <c r="Y9" s="1488"/>
    </row>
    <row r="10" spans="1:25" ht="60.75" customHeight="1">
      <c r="A10" s="1500"/>
      <c r="B10" s="1489">
        <v>51040010003</v>
      </c>
      <c r="C10" s="1489" t="s">
        <v>103</v>
      </c>
      <c r="D10" s="1490" t="s">
        <v>1952</v>
      </c>
      <c r="E10" s="1491"/>
      <c r="F10" s="1492"/>
      <c r="G10" s="1493"/>
      <c r="H10" s="1494">
        <f>H12</f>
        <v>8</v>
      </c>
      <c r="I10" s="1493"/>
      <c r="J10" s="1495"/>
      <c r="K10" s="1496"/>
      <c r="L10" s="1496"/>
      <c r="M10" s="1497"/>
      <c r="N10" s="1498"/>
      <c r="O10" s="1498"/>
      <c r="P10" s="1499"/>
      <c r="Q10" s="1500"/>
      <c r="R10" s="1500"/>
      <c r="S10" s="1500"/>
      <c r="T10" s="1501"/>
      <c r="U10" s="1501"/>
      <c r="V10" s="1491"/>
      <c r="W10" s="1491"/>
      <c r="X10" s="1495"/>
      <c r="Y10" s="1502"/>
    </row>
    <row r="11" spans="1:25" ht="16.5" customHeight="1">
      <c r="A11" s="3063">
        <v>4146</v>
      </c>
      <c r="B11" s="3064"/>
      <c r="C11" s="3064" t="s">
        <v>109</v>
      </c>
      <c r="D11" s="3065" t="s">
        <v>1953</v>
      </c>
      <c r="E11" s="1491" t="s">
        <v>1954</v>
      </c>
      <c r="F11" s="1492"/>
      <c r="G11" s="1493"/>
      <c r="H11" s="1492"/>
      <c r="I11" s="1493"/>
      <c r="J11" s="1503"/>
      <c r="K11" s="1504">
        <v>16</v>
      </c>
      <c r="L11" s="1505">
        <v>1</v>
      </c>
      <c r="M11" s="1506"/>
      <c r="N11" s="1505">
        <f>+N12+N13</f>
        <v>0.3</v>
      </c>
      <c r="O11" s="3067">
        <f>IF(Q11&gt;0,N11,"na")</f>
        <v>0.3</v>
      </c>
      <c r="P11" s="1507">
        <f>+P13+P12</f>
        <v>362930400</v>
      </c>
      <c r="Q11" s="1507">
        <f>+Q13+Q12</f>
        <v>1649332476</v>
      </c>
      <c r="R11" s="1507">
        <f>+R13+R12</f>
        <v>276421000</v>
      </c>
      <c r="S11" s="1507">
        <f>+S13+S12</f>
        <v>74016000</v>
      </c>
      <c r="T11" s="1505">
        <f t="shared" ref="T11:U13" si="0">IF(Q11=0,0,R11/Q11)</f>
        <v>0.16759568129670419</v>
      </c>
      <c r="U11" s="1505">
        <f t="shared" si="0"/>
        <v>0.26776547367964082</v>
      </c>
      <c r="V11" s="1508"/>
      <c r="W11" s="1508"/>
      <c r="X11" s="1509"/>
      <c r="Y11" s="3068" t="s">
        <v>1955</v>
      </c>
    </row>
    <row r="12" spans="1:25" ht="162" customHeight="1">
      <c r="A12" s="3062"/>
      <c r="B12" s="3062"/>
      <c r="C12" s="3062"/>
      <c r="D12" s="3066"/>
      <c r="E12" s="1491" t="s">
        <v>1956</v>
      </c>
      <c r="F12" s="1492"/>
      <c r="G12" s="1510" t="s">
        <v>1952</v>
      </c>
      <c r="H12" s="1494">
        <v>8</v>
      </c>
      <c r="I12" s="1503" t="s">
        <v>1957</v>
      </c>
      <c r="J12" s="1503" t="s">
        <v>1958</v>
      </c>
      <c r="K12" s="1507">
        <v>16</v>
      </c>
      <c r="L12" s="1505">
        <v>0.55000000000000004</v>
      </c>
      <c r="M12" s="1506">
        <v>8</v>
      </c>
      <c r="N12" s="1505">
        <v>0.12</v>
      </c>
      <c r="O12" s="3064"/>
      <c r="P12" s="1507">
        <v>187185600</v>
      </c>
      <c r="Q12" s="1507">
        <v>349925600</v>
      </c>
      <c r="R12" s="1507">
        <v>124471000</v>
      </c>
      <c r="S12" s="1507">
        <v>26845000</v>
      </c>
      <c r="T12" s="1505">
        <f>IF(Q12=0,0,R12/Q12)</f>
        <v>0.35570704172544104</v>
      </c>
      <c r="U12" s="1505">
        <f>IF(R12=0,0,S12/R12)</f>
        <v>0.21567272698058182</v>
      </c>
      <c r="V12" s="1508">
        <v>45357</v>
      </c>
      <c r="W12" s="1508">
        <v>45657</v>
      </c>
      <c r="X12" s="1511" t="s">
        <v>1959</v>
      </c>
      <c r="Y12" s="3069"/>
    </row>
    <row r="13" spans="1:25" ht="108" customHeight="1">
      <c r="A13" s="3062"/>
      <c r="B13" s="3062"/>
      <c r="C13" s="3062"/>
      <c r="D13" s="3066"/>
      <c r="E13" s="1491" t="s">
        <v>1960</v>
      </c>
      <c r="F13" s="1492"/>
      <c r="G13" s="1510"/>
      <c r="H13" s="1494"/>
      <c r="I13" s="1510" t="s">
        <v>5120</v>
      </c>
      <c r="J13" s="1503" t="s">
        <v>106</v>
      </c>
      <c r="K13" s="1506">
        <v>300</v>
      </c>
      <c r="L13" s="1505">
        <v>0.45</v>
      </c>
      <c r="M13" s="1506">
        <f>50+37+29+36</f>
        <v>152</v>
      </c>
      <c r="N13" s="1505">
        <v>0.18</v>
      </c>
      <c r="O13" s="3064"/>
      <c r="P13" s="1507">
        <v>175744800</v>
      </c>
      <c r="Q13" s="1507">
        <v>1299406876</v>
      </c>
      <c r="R13" s="1507">
        <v>151950000</v>
      </c>
      <c r="S13" s="1507">
        <v>47171000</v>
      </c>
      <c r="T13" s="1505">
        <f t="shared" si="0"/>
        <v>0.11693796824267381</v>
      </c>
      <c r="U13" s="1505">
        <f>IF(R13=0,0,S13/R13)</f>
        <v>0.31043764396182955</v>
      </c>
      <c r="V13" s="1508">
        <v>45336</v>
      </c>
      <c r="W13" s="1508">
        <v>45657</v>
      </c>
      <c r="X13" s="1511" t="s">
        <v>5121</v>
      </c>
      <c r="Y13" s="3069"/>
    </row>
    <row r="14" spans="1:25">
      <c r="A14" s="1515"/>
      <c r="B14" s="1513">
        <v>52</v>
      </c>
      <c r="C14" s="1513" t="s">
        <v>100</v>
      </c>
      <c r="D14" s="1514" t="s">
        <v>148</v>
      </c>
      <c r="E14" s="1515"/>
      <c r="F14" s="1513"/>
      <c r="G14" s="1516"/>
      <c r="H14" s="1513"/>
      <c r="I14" s="1516"/>
      <c r="J14" s="1517"/>
      <c r="K14" s="1518"/>
      <c r="L14" s="1519"/>
      <c r="M14" s="1518"/>
      <c r="N14" s="1519"/>
      <c r="O14" s="1520"/>
      <c r="P14" s="1518"/>
      <c r="Q14" s="1518"/>
      <c r="R14" s="1518"/>
      <c r="S14" s="1518"/>
      <c r="T14" s="1519"/>
      <c r="U14" s="1519"/>
      <c r="V14" s="1515"/>
      <c r="W14" s="1515"/>
      <c r="X14" s="1521"/>
      <c r="Y14" s="1476"/>
    </row>
    <row r="15" spans="1:25">
      <c r="A15" s="1513"/>
      <c r="B15" s="1513">
        <v>5201</v>
      </c>
      <c r="C15" s="1513" t="s">
        <v>101</v>
      </c>
      <c r="D15" s="1517" t="s">
        <v>1178</v>
      </c>
      <c r="E15" s="1515"/>
      <c r="F15" s="1513"/>
      <c r="G15" s="1517"/>
      <c r="H15" s="1513"/>
      <c r="I15" s="1516"/>
      <c r="J15" s="1517"/>
      <c r="K15" s="1518"/>
      <c r="L15" s="1519"/>
      <c r="M15" s="1518"/>
      <c r="N15" s="1519"/>
      <c r="O15" s="1520"/>
      <c r="P15" s="1518"/>
      <c r="Q15" s="1518"/>
      <c r="R15" s="1518"/>
      <c r="S15" s="1518"/>
      <c r="T15" s="1519"/>
      <c r="U15" s="1519"/>
      <c r="V15" s="1522"/>
      <c r="W15" s="1522"/>
      <c r="X15" s="1521"/>
      <c r="Y15" s="1515"/>
    </row>
    <row r="16" spans="1:25" ht="16.5" customHeight="1">
      <c r="A16" s="1480"/>
      <c r="B16" s="1480">
        <v>5201002</v>
      </c>
      <c r="C16" s="1480" t="s">
        <v>102</v>
      </c>
      <c r="D16" s="1523" t="s">
        <v>1190</v>
      </c>
      <c r="E16" s="1482"/>
      <c r="F16" s="1480"/>
      <c r="G16" s="1523"/>
      <c r="H16" s="1480"/>
      <c r="I16" s="1481"/>
      <c r="J16" s="1523"/>
      <c r="K16" s="1524"/>
      <c r="L16" s="1519"/>
      <c r="M16" s="1524"/>
      <c r="N16" s="1519"/>
      <c r="O16" s="1525"/>
      <c r="P16" s="1518"/>
      <c r="Q16" s="1518"/>
      <c r="R16" s="1518"/>
      <c r="S16" s="1518"/>
      <c r="T16" s="1519"/>
      <c r="U16" s="1519"/>
      <c r="V16" s="1526"/>
      <c r="W16" s="1526"/>
      <c r="X16" s="1527"/>
      <c r="Y16" s="1482"/>
    </row>
    <row r="17" spans="1:25" ht="51" customHeight="1">
      <c r="A17" s="1492"/>
      <c r="B17" s="1492">
        <v>52010020008</v>
      </c>
      <c r="C17" s="1492" t="s">
        <v>103</v>
      </c>
      <c r="D17" s="1528" t="s">
        <v>1961</v>
      </c>
      <c r="E17" s="1494"/>
      <c r="F17" s="1492"/>
      <c r="G17" s="1510"/>
      <c r="H17" s="1492">
        <f>H19</f>
        <v>0</v>
      </c>
      <c r="I17" s="1510"/>
      <c r="J17" s="1510"/>
      <c r="K17" s="1518"/>
      <c r="L17" s="1519"/>
      <c r="M17" s="1529"/>
      <c r="N17" s="1519"/>
      <c r="O17" s="1530"/>
      <c r="P17" s="1518"/>
      <c r="Q17" s="1518"/>
      <c r="R17" s="1518"/>
      <c r="S17" s="1518"/>
      <c r="T17" s="1531"/>
      <c r="U17" s="1531"/>
      <c r="V17" s="1532"/>
      <c r="W17" s="1532"/>
      <c r="X17" s="1511"/>
      <c r="Y17" s="1533"/>
    </row>
    <row r="18" spans="1:25" ht="16.5" customHeight="1">
      <c r="A18" s="3062">
        <v>4146</v>
      </c>
      <c r="B18" s="3062"/>
      <c r="C18" s="3070" t="s">
        <v>109</v>
      </c>
      <c r="D18" s="3079" t="s">
        <v>1962</v>
      </c>
      <c r="E18" s="1535" t="s">
        <v>1963</v>
      </c>
      <c r="F18" s="1492"/>
      <c r="G18" s="1510"/>
      <c r="H18" s="1492"/>
      <c r="I18" s="1510"/>
      <c r="J18" s="1510"/>
      <c r="K18" s="1507">
        <v>1</v>
      </c>
      <c r="L18" s="1531">
        <v>1</v>
      </c>
      <c r="M18" s="1507"/>
      <c r="N18" s="1505">
        <f>+N19</f>
        <v>7.0000000000000007E-2</v>
      </c>
      <c r="O18" s="3091">
        <f>IF(Q18&gt;0,N18,"na")</f>
        <v>7.0000000000000007E-2</v>
      </c>
      <c r="P18" s="1507">
        <f>+P19+P20</f>
        <v>150000000</v>
      </c>
      <c r="Q18" s="1507">
        <f>+Q19+Q20</f>
        <v>650000000</v>
      </c>
      <c r="R18" s="1507">
        <f t="shared" ref="R18:S18" si="1">+R19+R20</f>
        <v>224978000</v>
      </c>
      <c r="S18" s="1507">
        <f t="shared" si="1"/>
        <v>61010000</v>
      </c>
      <c r="T18" s="1531">
        <f t="shared" ref="T18:U20" si="2">IF(Q18=0,0,R18/Q18)</f>
        <v>0.34611999999999998</v>
      </c>
      <c r="U18" s="1531">
        <f t="shared" si="2"/>
        <v>0.27118207113584442</v>
      </c>
      <c r="V18" s="1536"/>
      <c r="W18" s="1536"/>
      <c r="X18" s="1511"/>
      <c r="Y18" s="3102" t="s">
        <v>1964</v>
      </c>
    </row>
    <row r="19" spans="1:25" ht="229.5" customHeight="1">
      <c r="A19" s="3062"/>
      <c r="B19" s="3062"/>
      <c r="C19" s="3071"/>
      <c r="D19" s="3089"/>
      <c r="E19" s="1535" t="s">
        <v>1965</v>
      </c>
      <c r="F19" s="1492"/>
      <c r="G19" s="1510" t="s">
        <v>1961</v>
      </c>
      <c r="H19" s="1492">
        <v>0</v>
      </c>
      <c r="I19" s="1510" t="s">
        <v>5122</v>
      </c>
      <c r="J19" s="1510" t="s">
        <v>1966</v>
      </c>
      <c r="K19" s="1529">
        <v>3745</v>
      </c>
      <c r="L19" s="1505">
        <v>0.8</v>
      </c>
      <c r="M19" s="1506">
        <v>5</v>
      </c>
      <c r="N19" s="1505">
        <v>7.0000000000000007E-2</v>
      </c>
      <c r="O19" s="3092"/>
      <c r="P19" s="1507">
        <v>150000000</v>
      </c>
      <c r="Q19" s="1507">
        <v>559792000</v>
      </c>
      <c r="R19" s="1507">
        <v>224978000</v>
      </c>
      <c r="S19" s="1507">
        <v>61010000</v>
      </c>
      <c r="T19" s="1531">
        <f>IF(Q19=0,0,R19/Q19)</f>
        <v>0.40189570411867265</v>
      </c>
      <c r="U19" s="1531">
        <f t="shared" si="2"/>
        <v>0.27118207113584442</v>
      </c>
      <c r="V19" s="3099">
        <v>45329</v>
      </c>
      <c r="W19" s="3099">
        <v>45657</v>
      </c>
      <c r="X19" s="121" t="s">
        <v>5123</v>
      </c>
      <c r="Y19" s="3103"/>
    </row>
    <row r="20" spans="1:25" ht="16.5" customHeight="1">
      <c r="A20" s="1492"/>
      <c r="B20" s="1492"/>
      <c r="C20" s="3072"/>
      <c r="D20" s="3080"/>
      <c r="E20" s="1535" t="s">
        <v>5124</v>
      </c>
      <c r="F20" s="1492"/>
      <c r="G20" s="1510"/>
      <c r="H20" s="1492"/>
      <c r="I20" s="1510" t="s">
        <v>5125</v>
      </c>
      <c r="J20" s="1510" t="s">
        <v>2121</v>
      </c>
      <c r="K20" s="1529">
        <v>120</v>
      </c>
      <c r="L20" s="1505">
        <v>0.2</v>
      </c>
      <c r="M20" s="1506">
        <v>0</v>
      </c>
      <c r="N20" s="1505">
        <v>0</v>
      </c>
      <c r="O20" s="3093"/>
      <c r="P20" s="1507">
        <v>0</v>
      </c>
      <c r="Q20" s="1507">
        <v>90208000</v>
      </c>
      <c r="R20" s="1507">
        <v>0</v>
      </c>
      <c r="S20" s="1507">
        <v>0</v>
      </c>
      <c r="T20" s="1531">
        <f>IF(Q20=0,0,R20/Q20)</f>
        <v>0</v>
      </c>
      <c r="U20" s="1531">
        <f t="shared" si="2"/>
        <v>0</v>
      </c>
      <c r="V20" s="3100"/>
      <c r="W20" s="3100"/>
      <c r="X20" s="1511"/>
      <c r="Y20" s="3104"/>
    </row>
    <row r="21" spans="1:25" ht="16.5" customHeight="1">
      <c r="A21" s="1480"/>
      <c r="B21" s="1480">
        <v>5201005</v>
      </c>
      <c r="C21" s="1480" t="s">
        <v>102</v>
      </c>
      <c r="D21" s="1523" t="s">
        <v>1499</v>
      </c>
      <c r="E21" s="1482"/>
      <c r="F21" s="1480"/>
      <c r="G21" s="1523"/>
      <c r="H21" s="1480"/>
      <c r="I21" s="1481"/>
      <c r="J21" s="1523"/>
      <c r="K21" s="1524"/>
      <c r="L21" s="1519"/>
      <c r="M21" s="1524"/>
      <c r="N21" s="1519"/>
      <c r="O21" s="1525"/>
      <c r="P21" s="1518"/>
      <c r="Q21" s="1518"/>
      <c r="R21" s="1518"/>
      <c r="S21" s="1518"/>
      <c r="T21" s="1519"/>
      <c r="U21" s="1519"/>
      <c r="V21" s="1526"/>
      <c r="W21" s="1526"/>
      <c r="X21" s="1527"/>
      <c r="Y21" s="1482"/>
    </row>
    <row r="22" spans="1:25" ht="16.5" customHeight="1">
      <c r="A22" s="1492"/>
      <c r="B22" s="1542">
        <v>52010050001</v>
      </c>
      <c r="C22" s="1542" t="s">
        <v>103</v>
      </c>
      <c r="D22" s="1528" t="s">
        <v>1967</v>
      </c>
      <c r="E22" s="1494"/>
      <c r="F22" s="1543"/>
      <c r="G22" s="1510"/>
      <c r="H22" s="1543">
        <f>H25</f>
        <v>0</v>
      </c>
      <c r="I22" s="1493"/>
      <c r="J22" s="1510"/>
      <c r="K22" s="1529"/>
      <c r="L22" s="1519"/>
      <c r="M22" s="1529"/>
      <c r="N22" s="1519"/>
      <c r="O22" s="1530"/>
      <c r="P22" s="1529"/>
      <c r="Q22" s="1518"/>
      <c r="R22" s="1518"/>
      <c r="S22" s="1518"/>
      <c r="T22" s="1531"/>
      <c r="U22" s="1531"/>
      <c r="V22" s="1494"/>
      <c r="W22" s="1494"/>
      <c r="X22" s="1511"/>
      <c r="Y22" s="1544"/>
    </row>
    <row r="23" spans="1:25" ht="67.5" customHeight="1">
      <c r="A23" s="3062">
        <v>4146</v>
      </c>
      <c r="B23" s="3062"/>
      <c r="C23" s="3062" t="s">
        <v>109</v>
      </c>
      <c r="D23" s="3073" t="s">
        <v>1968</v>
      </c>
      <c r="E23" s="1535" t="s">
        <v>1969</v>
      </c>
      <c r="F23" s="1494"/>
      <c r="G23" s="1510"/>
      <c r="H23" s="1492"/>
      <c r="I23" s="1493"/>
      <c r="J23" s="1510"/>
      <c r="K23" s="1529">
        <v>50</v>
      </c>
      <c r="L23" s="1505">
        <v>1</v>
      </c>
      <c r="M23" s="1529"/>
      <c r="N23" s="1505">
        <f>N24+N25</f>
        <v>0</v>
      </c>
      <c r="O23" s="3074">
        <f>IF(Q23&gt;0,N23,"na")</f>
        <v>0</v>
      </c>
      <c r="P23" s="1507">
        <f>P24+P25</f>
        <v>78832000</v>
      </c>
      <c r="Q23" s="1507">
        <f>Q24+Q25</f>
        <v>229468000</v>
      </c>
      <c r="R23" s="1507">
        <f t="shared" ref="R23:S23" si="3">R24+R25</f>
        <v>75686599</v>
      </c>
      <c r="S23" s="1507">
        <f t="shared" si="3"/>
        <v>0</v>
      </c>
      <c r="T23" s="1531">
        <f>IF(Q23=0,0,R23/Q23)</f>
        <v>0.32983509247476772</v>
      </c>
      <c r="U23" s="1531">
        <f t="shared" ref="T23:U25" si="4">IF(R23=0,0,S23/R23)</f>
        <v>0</v>
      </c>
      <c r="V23" s="1532"/>
      <c r="W23" s="1532"/>
      <c r="X23" s="1511"/>
      <c r="Y23" s="3068" t="s">
        <v>1970</v>
      </c>
    </row>
    <row r="24" spans="1:25" ht="67.5" customHeight="1">
      <c r="A24" s="3062"/>
      <c r="B24" s="3062"/>
      <c r="C24" s="3062"/>
      <c r="D24" s="3073"/>
      <c r="E24" s="1494" t="s">
        <v>1971</v>
      </c>
      <c r="F24" s="1494"/>
      <c r="G24" s="1510"/>
      <c r="H24" s="1492"/>
      <c r="I24" s="1510" t="s">
        <v>5126</v>
      </c>
      <c r="J24" s="1510" t="s">
        <v>1972</v>
      </c>
      <c r="K24" s="1529">
        <v>5</v>
      </c>
      <c r="L24" s="1505">
        <v>0.1</v>
      </c>
      <c r="M24" s="1529">
        <v>0</v>
      </c>
      <c r="N24" s="1505">
        <v>0</v>
      </c>
      <c r="O24" s="3074"/>
      <c r="P24" s="1507">
        <v>4279200</v>
      </c>
      <c r="Q24" s="1507">
        <v>104279200</v>
      </c>
      <c r="R24" s="1507">
        <v>4011599</v>
      </c>
      <c r="S24" s="1507">
        <v>0</v>
      </c>
      <c r="T24" s="1531">
        <f t="shared" ref="T24" si="5">IF(Q24=0,0,R24/Q24)</f>
        <v>3.8469790715694022E-2</v>
      </c>
      <c r="U24" s="1531">
        <f t="shared" si="4"/>
        <v>0</v>
      </c>
      <c r="V24" s="1532"/>
      <c r="W24" s="1532"/>
      <c r="X24" s="1511" t="s">
        <v>5127</v>
      </c>
      <c r="Y24" s="3068"/>
    </row>
    <row r="25" spans="1:25" ht="25.5" customHeight="1">
      <c r="A25" s="3062"/>
      <c r="B25" s="3062"/>
      <c r="C25" s="3062"/>
      <c r="D25" s="3066"/>
      <c r="E25" s="1494" t="s">
        <v>1973</v>
      </c>
      <c r="F25" s="1492"/>
      <c r="G25" s="1510" t="s">
        <v>1967</v>
      </c>
      <c r="H25" s="1543">
        <v>0</v>
      </c>
      <c r="I25" s="1510" t="s">
        <v>5128</v>
      </c>
      <c r="J25" s="1510" t="s">
        <v>1974</v>
      </c>
      <c r="K25" s="1529">
        <v>95</v>
      </c>
      <c r="L25" s="1505">
        <v>0.9</v>
      </c>
      <c r="M25" s="1506">
        <v>0</v>
      </c>
      <c r="N25" s="1505">
        <v>0</v>
      </c>
      <c r="O25" s="3062"/>
      <c r="P25" s="1507">
        <v>74552800</v>
      </c>
      <c r="Q25" s="1507">
        <v>125188800</v>
      </c>
      <c r="R25" s="1507">
        <v>71675000</v>
      </c>
      <c r="S25" s="1507">
        <v>0</v>
      </c>
      <c r="T25" s="1531">
        <f t="shared" si="4"/>
        <v>0.57253524276932122</v>
      </c>
      <c r="U25" s="1531">
        <f t="shared" si="4"/>
        <v>0</v>
      </c>
      <c r="V25" s="1532"/>
      <c r="W25" s="1532"/>
      <c r="X25" s="1511" t="s">
        <v>5127</v>
      </c>
      <c r="Y25" s="3069"/>
    </row>
    <row r="26" spans="1:25" ht="16.5" customHeight="1">
      <c r="A26" s="1492"/>
      <c r="B26" s="1542">
        <v>52010050002</v>
      </c>
      <c r="C26" s="1492" t="s">
        <v>103</v>
      </c>
      <c r="D26" s="1528" t="s">
        <v>1975</v>
      </c>
      <c r="E26" s="1494"/>
      <c r="F26" s="1543"/>
      <c r="G26" s="1510"/>
      <c r="H26" s="1543">
        <f>H29</f>
        <v>0</v>
      </c>
      <c r="I26" s="1510"/>
      <c r="J26" s="1510"/>
      <c r="K26" s="1529"/>
      <c r="L26" s="1519"/>
      <c r="M26" s="1529"/>
      <c r="N26" s="1519"/>
      <c r="O26" s="1530"/>
      <c r="P26" s="1529"/>
      <c r="Q26" s="1518"/>
      <c r="R26" s="1518"/>
      <c r="S26" s="1518"/>
      <c r="T26" s="1531"/>
      <c r="U26" s="1531"/>
      <c r="V26" s="1494"/>
      <c r="W26" s="1494"/>
      <c r="X26" s="1511"/>
      <c r="Y26" s="1544"/>
    </row>
    <row r="27" spans="1:25" ht="16.5" customHeight="1">
      <c r="A27" s="3062">
        <v>4146</v>
      </c>
      <c r="B27" s="3062"/>
      <c r="C27" s="3062" t="s">
        <v>109</v>
      </c>
      <c r="D27" s="3073" t="s">
        <v>1976</v>
      </c>
      <c r="E27" s="1535" t="s">
        <v>1977</v>
      </c>
      <c r="F27" s="1492"/>
      <c r="G27" s="1510"/>
      <c r="H27" s="1492"/>
      <c r="I27" s="1510"/>
      <c r="J27" s="1510"/>
      <c r="K27" s="1529">
        <v>10</v>
      </c>
      <c r="L27" s="1505">
        <v>1</v>
      </c>
      <c r="M27" s="1529"/>
      <c r="N27" s="1505">
        <f>N28+N29</f>
        <v>0</v>
      </c>
      <c r="O27" s="3074">
        <f>IF(Q27&gt;0,N27,"na")</f>
        <v>0</v>
      </c>
      <c r="P27" s="1507">
        <f>P28+P29</f>
        <v>61500000</v>
      </c>
      <c r="Q27" s="1507">
        <f>Q28+Q29</f>
        <v>52500000</v>
      </c>
      <c r="R27" s="1507">
        <f t="shared" ref="R27:S27" si="6">R28+R29</f>
        <v>21450000</v>
      </c>
      <c r="S27" s="1507">
        <f t="shared" si="6"/>
        <v>0</v>
      </c>
      <c r="T27" s="1531">
        <f t="shared" ref="T27:U29" si="7">IF(Q27=0,0,R27/Q27)</f>
        <v>0.40857142857142859</v>
      </c>
      <c r="U27" s="1531">
        <f t="shared" si="7"/>
        <v>0</v>
      </c>
      <c r="V27" s="1532"/>
      <c r="W27" s="1532"/>
      <c r="X27" s="1511"/>
      <c r="Y27" s="3068" t="s">
        <v>1970</v>
      </c>
    </row>
    <row r="28" spans="1:25" ht="121.5" customHeight="1">
      <c r="A28" s="3062"/>
      <c r="B28" s="3062"/>
      <c r="C28" s="3062"/>
      <c r="D28" s="3073"/>
      <c r="E28" s="1494" t="s">
        <v>1978</v>
      </c>
      <c r="F28" s="1492"/>
      <c r="G28" s="1510"/>
      <c r="H28" s="1492"/>
      <c r="I28" s="1510" t="s">
        <v>1979</v>
      </c>
      <c r="J28" s="1510" t="s">
        <v>1980</v>
      </c>
      <c r="K28" s="1529">
        <v>100</v>
      </c>
      <c r="L28" s="1505">
        <v>0.55000000000000004</v>
      </c>
      <c r="M28" s="1529">
        <v>0</v>
      </c>
      <c r="N28" s="1505">
        <v>0</v>
      </c>
      <c r="O28" s="3074"/>
      <c r="P28" s="1507">
        <v>40000000</v>
      </c>
      <c r="Q28" s="1507">
        <v>31000000</v>
      </c>
      <c r="R28" s="1507">
        <v>0</v>
      </c>
      <c r="S28" s="1507">
        <v>0</v>
      </c>
      <c r="T28" s="1531">
        <f t="shared" si="7"/>
        <v>0</v>
      </c>
      <c r="U28" s="1531">
        <f t="shared" si="7"/>
        <v>0</v>
      </c>
      <c r="V28" s="1532"/>
      <c r="W28" s="1532"/>
      <c r="X28" s="1511"/>
      <c r="Y28" s="3068"/>
    </row>
    <row r="29" spans="1:25" ht="25.5" customHeight="1">
      <c r="A29" s="3062"/>
      <c r="B29" s="3062"/>
      <c r="C29" s="3062"/>
      <c r="D29" s="3066"/>
      <c r="E29" s="1494" t="s">
        <v>1981</v>
      </c>
      <c r="F29" s="1492"/>
      <c r="G29" s="1510" t="s">
        <v>1975</v>
      </c>
      <c r="H29" s="1543">
        <v>0</v>
      </c>
      <c r="I29" s="1510" t="s">
        <v>1982</v>
      </c>
      <c r="J29" s="1510" t="s">
        <v>1974</v>
      </c>
      <c r="K29" s="1529">
        <v>10</v>
      </c>
      <c r="L29" s="1505">
        <v>0.45</v>
      </c>
      <c r="M29" s="1506">
        <v>0</v>
      </c>
      <c r="N29" s="1505">
        <v>0</v>
      </c>
      <c r="O29" s="3062"/>
      <c r="P29" s="1507">
        <v>21500000</v>
      </c>
      <c r="Q29" s="1507">
        <v>21500000</v>
      </c>
      <c r="R29" s="1507">
        <v>21450000</v>
      </c>
      <c r="S29" s="1507">
        <v>0</v>
      </c>
      <c r="T29" s="1531">
        <f t="shared" si="7"/>
        <v>0.99767441860465111</v>
      </c>
      <c r="U29" s="1531">
        <f t="shared" si="7"/>
        <v>0</v>
      </c>
      <c r="V29" s="1532">
        <v>45434</v>
      </c>
      <c r="W29" s="1532">
        <v>45657</v>
      </c>
      <c r="X29" s="1511" t="s">
        <v>5127</v>
      </c>
      <c r="Y29" s="3069"/>
    </row>
    <row r="30" spans="1:25" ht="16.5" customHeight="1">
      <c r="A30" s="1492"/>
      <c r="B30" s="1542">
        <v>52010050003</v>
      </c>
      <c r="C30" s="1492" t="s">
        <v>103</v>
      </c>
      <c r="D30" s="1528" t="s">
        <v>1983</v>
      </c>
      <c r="E30" s="1494"/>
      <c r="F30" s="1545"/>
      <c r="G30" s="1493"/>
      <c r="H30" s="1545">
        <f>H32</f>
        <v>28462</v>
      </c>
      <c r="I30" s="1510"/>
      <c r="J30" s="1510"/>
      <c r="K30" s="1518"/>
      <c r="L30" s="1519"/>
      <c r="M30" s="1529"/>
      <c r="N30" s="1519"/>
      <c r="O30" s="1530"/>
      <c r="P30" s="1518"/>
      <c r="Q30" s="1518"/>
      <c r="R30" s="1518"/>
      <c r="S30" s="1518"/>
      <c r="T30" s="1531"/>
      <c r="U30" s="1531"/>
      <c r="V30" s="1492"/>
      <c r="W30" s="1492"/>
      <c r="X30" s="1511"/>
      <c r="Y30" s="1502"/>
    </row>
    <row r="31" spans="1:25" ht="94.5" customHeight="1">
      <c r="A31" s="3062">
        <v>4146</v>
      </c>
      <c r="B31" s="3062">
        <f>3764+5519+4794+5062+5311+4012</f>
        <v>28462</v>
      </c>
      <c r="C31" s="3062" t="s">
        <v>109</v>
      </c>
      <c r="D31" s="3073" t="s">
        <v>1984</v>
      </c>
      <c r="E31" s="1494" t="s">
        <v>1985</v>
      </c>
      <c r="F31" s="1546"/>
      <c r="G31" s="1510"/>
      <c r="H31" s="1492"/>
      <c r="I31" s="1510"/>
      <c r="J31" s="1510"/>
      <c r="K31" s="1507">
        <f>+K32</f>
        <v>43670</v>
      </c>
      <c r="L31" s="1505">
        <v>1</v>
      </c>
      <c r="M31" s="1529"/>
      <c r="N31" s="1505">
        <f>+N32+N33</f>
        <v>0.47599999999999998</v>
      </c>
      <c r="O31" s="3074">
        <f>IF(Q31&gt;0,N31,"na")</f>
        <v>0.47599999999999998</v>
      </c>
      <c r="P31" s="1507">
        <f>+P32+P33</f>
        <v>1253444000</v>
      </c>
      <c r="Q31" s="1507">
        <f>+Q32+Q33</f>
        <v>2362969785</v>
      </c>
      <c r="R31" s="1507">
        <f t="shared" ref="R31:S31" si="8">+R32+R33</f>
        <v>1117276001</v>
      </c>
      <c r="S31" s="1507">
        <f t="shared" si="8"/>
        <v>1039116000</v>
      </c>
      <c r="T31" s="1531">
        <f t="shared" ref="T31:U32" si="9">IF(Q31=0,0,R31/Q31)</f>
        <v>0.47282703659285258</v>
      </c>
      <c r="U31" s="1531">
        <f t="shared" si="9"/>
        <v>0.9300441422441329</v>
      </c>
      <c r="V31" s="1532"/>
      <c r="W31" s="1532"/>
      <c r="X31" s="1511"/>
      <c r="Y31" s="3068" t="s">
        <v>1970</v>
      </c>
    </row>
    <row r="32" spans="1:25" ht="67.5" customHeight="1">
      <c r="A32" s="3062"/>
      <c r="B32" s="3062"/>
      <c r="C32" s="3062"/>
      <c r="D32" s="3066"/>
      <c r="E32" s="1494" t="s">
        <v>1986</v>
      </c>
      <c r="F32" s="1492"/>
      <c r="G32" s="1510" t="s">
        <v>1983</v>
      </c>
      <c r="H32" s="1545">
        <f>+M32</f>
        <v>28462</v>
      </c>
      <c r="I32" s="1510" t="s">
        <v>1987</v>
      </c>
      <c r="J32" s="1510" t="s">
        <v>1988</v>
      </c>
      <c r="K32" s="1547">
        <v>43670</v>
      </c>
      <c r="L32" s="1548">
        <v>0.7</v>
      </c>
      <c r="M32" s="1506">
        <v>28462</v>
      </c>
      <c r="N32" s="1505">
        <v>0.47599999999999998</v>
      </c>
      <c r="O32" s="3062"/>
      <c r="P32" s="1507">
        <v>1235000000</v>
      </c>
      <c r="Q32" s="1507">
        <v>2335525785</v>
      </c>
      <c r="R32" s="1507">
        <v>1107826000</v>
      </c>
      <c r="S32" s="1507">
        <v>1039116000</v>
      </c>
      <c r="T32" s="1531">
        <f>IF(Q32=0,0,R32/Q32)</f>
        <v>0.4743368739985887</v>
      </c>
      <c r="U32" s="1531">
        <f t="shared" si="9"/>
        <v>0.93797762464502543</v>
      </c>
      <c r="V32" s="1532">
        <v>45316</v>
      </c>
      <c r="W32" s="1532">
        <v>45657</v>
      </c>
      <c r="X32" s="1511" t="s">
        <v>5129</v>
      </c>
      <c r="Y32" s="3069"/>
    </row>
    <row r="33" spans="1:25" ht="25.5" customHeight="1">
      <c r="A33" s="3062"/>
      <c r="B33" s="3062"/>
      <c r="C33" s="3062"/>
      <c r="D33" s="3066"/>
      <c r="E33" s="1494" t="s">
        <v>1989</v>
      </c>
      <c r="F33" s="1492"/>
      <c r="G33" s="1510"/>
      <c r="H33" s="1492"/>
      <c r="I33" s="1510" t="s">
        <v>1990</v>
      </c>
      <c r="J33" s="1510" t="s">
        <v>1991</v>
      </c>
      <c r="K33" s="1529">
        <v>1</v>
      </c>
      <c r="L33" s="1548">
        <v>0.3</v>
      </c>
      <c r="M33" s="1506">
        <v>0</v>
      </c>
      <c r="N33" s="1505">
        <v>0</v>
      </c>
      <c r="O33" s="3062"/>
      <c r="P33" s="1507">
        <v>18444000</v>
      </c>
      <c r="Q33" s="1507">
        <v>27444000</v>
      </c>
      <c r="R33" s="1507">
        <v>9450001</v>
      </c>
      <c r="S33" s="1507">
        <v>0</v>
      </c>
      <c r="T33" s="1531">
        <f>IF(Q33=0,0,R33/Q33)</f>
        <v>0.34433759656026819</v>
      </c>
      <c r="U33" s="1531">
        <f>IF(R33=0,0,S33/R33)</f>
        <v>0</v>
      </c>
      <c r="V33" s="1532">
        <v>45434</v>
      </c>
      <c r="W33" s="1532">
        <v>45657</v>
      </c>
      <c r="X33" s="1511" t="s">
        <v>5130</v>
      </c>
      <c r="Y33" s="3069"/>
    </row>
    <row r="34" spans="1:25" ht="16.5" customHeight="1">
      <c r="A34" s="1492"/>
      <c r="B34" s="1542">
        <v>52010050004</v>
      </c>
      <c r="C34" s="1492" t="s">
        <v>103</v>
      </c>
      <c r="D34" s="1528" t="s">
        <v>1992</v>
      </c>
      <c r="E34" s="1494"/>
      <c r="F34" s="1492"/>
      <c r="G34" s="1510"/>
      <c r="H34" s="1492">
        <f>H36</f>
        <v>0</v>
      </c>
      <c r="I34" s="1510"/>
      <c r="J34" s="1510"/>
      <c r="K34" s="1529"/>
      <c r="L34" s="1519"/>
      <c r="M34" s="1529"/>
      <c r="N34" s="1519"/>
      <c r="O34" s="1530"/>
      <c r="P34" s="1529"/>
      <c r="Q34" s="1518"/>
      <c r="R34" s="1518"/>
      <c r="S34" s="1518"/>
      <c r="T34" s="1531"/>
      <c r="U34" s="1531"/>
      <c r="V34" s="1494"/>
      <c r="W34" s="1494"/>
      <c r="X34" s="1511"/>
      <c r="Y34" s="1544"/>
    </row>
    <row r="35" spans="1:25" ht="16.5" customHeight="1">
      <c r="A35" s="3062">
        <v>4146</v>
      </c>
      <c r="B35" s="3062"/>
      <c r="C35" s="3075" t="s">
        <v>109</v>
      </c>
      <c r="D35" s="3073" t="s">
        <v>1993</v>
      </c>
      <c r="E35" s="1494" t="s">
        <v>1994</v>
      </c>
      <c r="F35" s="1492"/>
      <c r="G35" s="1510"/>
      <c r="H35" s="1492"/>
      <c r="I35" s="1510"/>
      <c r="J35" s="1510"/>
      <c r="K35" s="1529">
        <v>1</v>
      </c>
      <c r="L35" s="1505">
        <v>1</v>
      </c>
      <c r="M35" s="1529"/>
      <c r="N35" s="1505">
        <f>+N36+N37</f>
        <v>0.125</v>
      </c>
      <c r="O35" s="3074">
        <f>IF(Q35&gt;0,N35,"na")</f>
        <v>0.125</v>
      </c>
      <c r="P35" s="1507">
        <f>+P36+P37</f>
        <v>742920000</v>
      </c>
      <c r="Q35" s="1507">
        <f>+Q36+Q37</f>
        <v>2007255888</v>
      </c>
      <c r="R35" s="1507">
        <f t="shared" ref="R35:S35" si="10">+R36+R37</f>
        <v>612688500</v>
      </c>
      <c r="S35" s="1507">
        <f t="shared" si="10"/>
        <v>303386000</v>
      </c>
      <c r="T35" s="1531">
        <f t="shared" ref="T35:U37" si="11">IF(Q35=0,0,R35/Q35)</f>
        <v>0.30523686773711434</v>
      </c>
      <c r="U35" s="1531">
        <f t="shared" si="11"/>
        <v>0.49517169001866362</v>
      </c>
      <c r="V35" s="1532"/>
      <c r="W35" s="1532"/>
      <c r="X35" s="1511"/>
      <c r="Y35" s="3068" t="s">
        <v>1970</v>
      </c>
    </row>
    <row r="36" spans="1:25" ht="40.5" customHeight="1">
      <c r="A36" s="3062"/>
      <c r="B36" s="3062"/>
      <c r="C36" s="3075"/>
      <c r="D36" s="3073"/>
      <c r="E36" s="1494" t="s">
        <v>1995</v>
      </c>
      <c r="F36" s="1492"/>
      <c r="G36" s="1510" t="s">
        <v>1992</v>
      </c>
      <c r="H36" s="1492">
        <v>0</v>
      </c>
      <c r="I36" s="1510" t="s">
        <v>1996</v>
      </c>
      <c r="J36" s="1510" t="s">
        <v>1997</v>
      </c>
      <c r="K36" s="1529">
        <v>12</v>
      </c>
      <c r="L36" s="1505">
        <v>0.6</v>
      </c>
      <c r="M36" s="1506">
        <v>0</v>
      </c>
      <c r="N36" s="1505">
        <v>4.9000000000000002E-2</v>
      </c>
      <c r="O36" s="3074"/>
      <c r="P36" s="1507">
        <v>545000000</v>
      </c>
      <c r="Q36" s="1507">
        <v>1809335888</v>
      </c>
      <c r="R36" s="1507">
        <v>465010500</v>
      </c>
      <c r="S36" s="1507">
        <v>254160000</v>
      </c>
      <c r="T36" s="1531">
        <f>IF(Q36=0,0,R36/Q36)</f>
        <v>0.257006177285309</v>
      </c>
      <c r="U36" s="1531">
        <f t="shared" si="11"/>
        <v>0.54656830329637718</v>
      </c>
      <c r="V36" s="1532">
        <v>45376</v>
      </c>
      <c r="W36" s="1532">
        <v>45657</v>
      </c>
      <c r="X36" s="1549" t="s">
        <v>5131</v>
      </c>
      <c r="Y36" s="3068"/>
    </row>
    <row r="37" spans="1:25" ht="38.25" customHeight="1">
      <c r="A37" s="3062"/>
      <c r="B37" s="3062"/>
      <c r="C37" s="3075"/>
      <c r="D37" s="3073"/>
      <c r="E37" s="1494" t="s">
        <v>1998</v>
      </c>
      <c r="F37" s="1492"/>
      <c r="G37" s="1510"/>
      <c r="H37" s="1492"/>
      <c r="I37" s="1510" t="s">
        <v>1999</v>
      </c>
      <c r="J37" s="1510" t="s">
        <v>1980</v>
      </c>
      <c r="K37" s="1529">
        <v>7659</v>
      </c>
      <c r="L37" s="1505">
        <v>0.4</v>
      </c>
      <c r="M37" s="1506">
        <f>250+819</f>
        <v>1069</v>
      </c>
      <c r="N37" s="1505">
        <v>7.5999999999999998E-2</v>
      </c>
      <c r="O37" s="3074"/>
      <c r="P37" s="1507">
        <v>197920000</v>
      </c>
      <c r="Q37" s="1507">
        <v>197920000</v>
      </c>
      <c r="R37" s="1507">
        <v>147678000</v>
      </c>
      <c r="S37" s="1507">
        <v>49226000</v>
      </c>
      <c r="T37" s="1531">
        <f>IF(Q37=0,0,R37/Q37)</f>
        <v>0.74614995957962815</v>
      </c>
      <c r="U37" s="1531">
        <f t="shared" si="11"/>
        <v>0.33333333333333331</v>
      </c>
      <c r="V37" s="1532"/>
      <c r="W37" s="1532"/>
      <c r="X37" s="1549"/>
      <c r="Y37" s="3068"/>
    </row>
    <row r="38" spans="1:25" ht="16.5" customHeight="1">
      <c r="A38" s="1492"/>
      <c r="B38" s="1542">
        <v>52010050005</v>
      </c>
      <c r="C38" s="1542" t="s">
        <v>103</v>
      </c>
      <c r="D38" s="1528" t="s">
        <v>2000</v>
      </c>
      <c r="E38" s="1494"/>
      <c r="F38" s="1543"/>
      <c r="G38" s="1510"/>
      <c r="H38" s="1543">
        <f>H40</f>
        <v>1</v>
      </c>
      <c r="I38" s="1510"/>
      <c r="J38" s="1510"/>
      <c r="K38" s="1518"/>
      <c r="L38" s="1519"/>
      <c r="M38" s="1529">
        <f>1804+2976+380+2643+1999+1999</f>
        <v>11801</v>
      </c>
      <c r="N38" s="1519"/>
      <c r="O38" s="1530"/>
      <c r="P38" s="1529"/>
      <c r="Q38" s="1518"/>
      <c r="R38" s="1518"/>
      <c r="S38" s="1518"/>
      <c r="T38" s="1531"/>
      <c r="U38" s="1531"/>
      <c r="V38" s="1494"/>
      <c r="W38" s="1494"/>
      <c r="X38" s="1511"/>
      <c r="Y38" s="1544"/>
    </row>
    <row r="39" spans="1:25" ht="108" customHeight="1">
      <c r="A39" s="3070">
        <v>4146</v>
      </c>
      <c r="B39" s="3070"/>
      <c r="C39" s="3070" t="s">
        <v>109</v>
      </c>
      <c r="D39" s="3083" t="s">
        <v>2001</v>
      </c>
      <c r="E39" s="1494" t="s">
        <v>2002</v>
      </c>
      <c r="F39" s="1492"/>
      <c r="G39" s="1510"/>
      <c r="H39" s="1492"/>
      <c r="I39" s="1510"/>
      <c r="J39" s="1510"/>
      <c r="K39" s="1507">
        <f>+K40</f>
        <v>42580</v>
      </c>
      <c r="L39" s="1505">
        <v>1</v>
      </c>
      <c r="M39" s="1529"/>
      <c r="N39" s="1505">
        <f>N40</f>
        <v>0.17</v>
      </c>
      <c r="O39" s="3091">
        <f>IF(Q39&gt;0,N39,"na")</f>
        <v>0.17</v>
      </c>
      <c r="P39" s="1507">
        <f>P40</f>
        <v>5774024375</v>
      </c>
      <c r="Q39" s="1507">
        <f>Q40</f>
        <v>9213339804</v>
      </c>
      <c r="R39" s="1507">
        <f t="shared" ref="R39:S39" si="12">R40</f>
        <v>2128257500</v>
      </c>
      <c r="S39" s="1507">
        <f t="shared" si="12"/>
        <v>713980000</v>
      </c>
      <c r="T39" s="1531">
        <f t="shared" ref="T39:U40" si="13">IF(Q39=0,0,R39/Q39)</f>
        <v>0.23099739565407221</v>
      </c>
      <c r="U39" s="1531">
        <f t="shared" si="13"/>
        <v>0.33547632276639455</v>
      </c>
      <c r="V39" s="1532"/>
      <c r="W39" s="1532"/>
      <c r="X39" s="1511"/>
      <c r="Y39" s="3079" t="s">
        <v>1970</v>
      </c>
    </row>
    <row r="40" spans="1:25" ht="16.5" customHeight="1">
      <c r="A40" s="3071"/>
      <c r="B40" s="3071"/>
      <c r="C40" s="3071"/>
      <c r="D40" s="3084"/>
      <c r="E40" s="1494" t="s">
        <v>2003</v>
      </c>
      <c r="F40" s="1492"/>
      <c r="G40" s="1510" t="s">
        <v>2004</v>
      </c>
      <c r="H40" s="1543">
        <v>1</v>
      </c>
      <c r="I40" s="1510" t="s">
        <v>5132</v>
      </c>
      <c r="J40" s="1510" t="s">
        <v>2005</v>
      </c>
      <c r="K40" s="1507">
        <v>42580</v>
      </c>
      <c r="L40" s="1505">
        <v>1</v>
      </c>
      <c r="M40" s="1506">
        <f>380+1400+2643+1999+1999</f>
        <v>8421</v>
      </c>
      <c r="N40" s="1505">
        <v>0.17</v>
      </c>
      <c r="O40" s="3092"/>
      <c r="P40" s="1507">
        <v>5774024375</v>
      </c>
      <c r="Q40" s="1507">
        <v>9213339804</v>
      </c>
      <c r="R40" s="1507">
        <v>2128257500</v>
      </c>
      <c r="S40" s="1507">
        <v>713980000</v>
      </c>
      <c r="T40" s="1531">
        <f t="shared" si="13"/>
        <v>0.23099739565407221</v>
      </c>
      <c r="U40" s="1531">
        <f t="shared" si="13"/>
        <v>0.33547632276639455</v>
      </c>
      <c r="V40" s="1532">
        <v>45328</v>
      </c>
      <c r="W40" s="1532">
        <v>45657</v>
      </c>
      <c r="X40" s="1549" t="s">
        <v>5133</v>
      </c>
      <c r="Y40" s="3089"/>
    </row>
    <row r="41" spans="1:25" ht="16.5" customHeight="1">
      <c r="A41" s="1492"/>
      <c r="B41" s="1542">
        <v>52010050006</v>
      </c>
      <c r="C41" s="1492" t="s">
        <v>103</v>
      </c>
      <c r="D41" s="1528" t="s">
        <v>2006</v>
      </c>
      <c r="E41" s="1494"/>
      <c r="F41" s="1543"/>
      <c r="G41" s="1510"/>
      <c r="H41" s="1543">
        <f>H44</f>
        <v>0</v>
      </c>
      <c r="I41" s="1510"/>
      <c r="J41" s="1510"/>
      <c r="K41" s="1529"/>
      <c r="L41" s="1519"/>
      <c r="M41" s="1529"/>
      <c r="N41" s="1519"/>
      <c r="O41" s="1530"/>
      <c r="P41" s="1518"/>
      <c r="Q41" s="1518"/>
      <c r="R41" s="1518"/>
      <c r="S41" s="1518"/>
      <c r="T41" s="1531"/>
      <c r="U41" s="1531"/>
      <c r="V41" s="1543"/>
      <c r="W41" s="1543"/>
      <c r="X41" s="1511"/>
      <c r="Y41" s="1550"/>
    </row>
    <row r="42" spans="1:25" ht="16.5" customHeight="1">
      <c r="A42" s="3062">
        <v>4146</v>
      </c>
      <c r="B42" s="3062"/>
      <c r="C42" s="3062" t="s">
        <v>109</v>
      </c>
      <c r="D42" s="3073" t="s">
        <v>2007</v>
      </c>
      <c r="E42" s="1494" t="s">
        <v>2008</v>
      </c>
      <c r="F42" s="1492"/>
      <c r="G42" s="1510"/>
      <c r="H42" s="1492"/>
      <c r="I42" s="1510"/>
      <c r="J42" s="1510"/>
      <c r="K42" s="1507">
        <v>30000</v>
      </c>
      <c r="L42" s="1505">
        <v>1</v>
      </c>
      <c r="M42" s="1529"/>
      <c r="N42" s="1505">
        <f>+N43+N44</f>
        <v>3.5999999999999997E-2</v>
      </c>
      <c r="O42" s="3074">
        <f>IF(Q42&gt;0,N42,"na")</f>
        <v>3.5999999999999997E-2</v>
      </c>
      <c r="P42" s="1507">
        <f>+P43+P44</f>
        <v>136200000</v>
      </c>
      <c r="Q42" s="1507">
        <f>+Q43+Q44</f>
        <v>136200000</v>
      </c>
      <c r="R42" s="1507">
        <f t="shared" ref="R42:S42" si="14">+R43+R44</f>
        <v>39360000</v>
      </c>
      <c r="S42" s="1507">
        <f t="shared" si="14"/>
        <v>9840000</v>
      </c>
      <c r="T42" s="1531">
        <f t="shared" ref="T42:U44" si="15">IF(Q42=0,0,R42/Q42)</f>
        <v>0.28898678414096918</v>
      </c>
      <c r="U42" s="1531">
        <f t="shared" si="15"/>
        <v>0.25</v>
      </c>
      <c r="V42" s="1532"/>
      <c r="W42" s="1532"/>
      <c r="X42" s="1511"/>
      <c r="Y42" s="3068" t="s">
        <v>1970</v>
      </c>
    </row>
    <row r="43" spans="1:25" ht="81" customHeight="1">
      <c r="A43" s="3062"/>
      <c r="B43" s="3062"/>
      <c r="C43" s="3062"/>
      <c r="D43" s="3073"/>
      <c r="E43" s="1494" t="s">
        <v>2009</v>
      </c>
      <c r="F43" s="1492"/>
      <c r="G43" s="1510"/>
      <c r="H43" s="1492"/>
      <c r="I43" s="1510" t="s">
        <v>2010</v>
      </c>
      <c r="J43" s="1510" t="s">
        <v>2011</v>
      </c>
      <c r="K43" s="1507">
        <v>30000</v>
      </c>
      <c r="L43" s="1505">
        <v>0.2</v>
      </c>
      <c r="M43" s="1506">
        <f>1639+2117</f>
        <v>3756</v>
      </c>
      <c r="N43" s="1505">
        <v>3.5999999999999997E-2</v>
      </c>
      <c r="O43" s="3074"/>
      <c r="P43" s="1507">
        <v>75600000</v>
      </c>
      <c r="Q43" s="1507">
        <v>75600000</v>
      </c>
      <c r="R43" s="1507">
        <v>39360000</v>
      </c>
      <c r="S43" s="1507">
        <v>9840000</v>
      </c>
      <c r="T43" s="1531">
        <f>IF(Q43=0,0,R43/Q43)</f>
        <v>0.52063492063492067</v>
      </c>
      <c r="U43" s="1531">
        <f>IF(R43=0,0,S43/R43)</f>
        <v>0.25</v>
      </c>
      <c r="V43" s="1532">
        <v>45414</v>
      </c>
      <c r="W43" s="1532">
        <v>45657</v>
      </c>
      <c r="X43" s="1511" t="s">
        <v>5134</v>
      </c>
      <c r="Y43" s="3068"/>
    </row>
    <row r="44" spans="1:25" ht="25.5" customHeight="1">
      <c r="A44" s="3062"/>
      <c r="B44" s="3062"/>
      <c r="C44" s="3062"/>
      <c r="D44" s="3066"/>
      <c r="E44" s="1494" t="s">
        <v>2012</v>
      </c>
      <c r="F44" s="1492"/>
      <c r="G44" s="1510" t="s">
        <v>2006</v>
      </c>
      <c r="H44" s="1543">
        <v>0</v>
      </c>
      <c r="I44" s="1510" t="s">
        <v>2013</v>
      </c>
      <c r="J44" s="1510" t="s">
        <v>2014</v>
      </c>
      <c r="K44" s="1507">
        <v>30000</v>
      </c>
      <c r="L44" s="1505">
        <v>0.8</v>
      </c>
      <c r="M44" s="1506">
        <v>0</v>
      </c>
      <c r="N44" s="1505">
        <v>0</v>
      </c>
      <c r="O44" s="3062"/>
      <c r="P44" s="1507">
        <v>60600000</v>
      </c>
      <c r="Q44" s="1507">
        <v>60600000</v>
      </c>
      <c r="R44" s="1507">
        <v>0</v>
      </c>
      <c r="S44" s="1507">
        <v>0</v>
      </c>
      <c r="T44" s="1531">
        <f t="shared" si="15"/>
        <v>0</v>
      </c>
      <c r="U44" s="1531">
        <f t="shared" si="15"/>
        <v>0</v>
      </c>
      <c r="V44" s="1532"/>
      <c r="W44" s="1532"/>
      <c r="X44" s="1549"/>
      <c r="Y44" s="3069"/>
    </row>
    <row r="45" spans="1:25" ht="16.5" customHeight="1">
      <c r="A45" s="1492"/>
      <c r="B45" s="1492">
        <v>52010050007</v>
      </c>
      <c r="C45" s="1492" t="s">
        <v>103</v>
      </c>
      <c r="D45" s="1528" t="s">
        <v>2015</v>
      </c>
      <c r="E45" s="1494"/>
      <c r="F45" s="1551"/>
      <c r="G45" s="1510"/>
      <c r="H45" s="1543">
        <f>H47</f>
        <v>0</v>
      </c>
      <c r="I45" s="1510"/>
      <c r="J45" s="1510"/>
      <c r="K45" s="1507"/>
      <c r="L45" s="1505"/>
      <c r="M45" s="1507"/>
      <c r="N45" s="1505"/>
      <c r="O45" s="1492"/>
      <c r="P45" s="1507"/>
      <c r="Q45" s="1507"/>
      <c r="R45" s="1507"/>
      <c r="S45" s="1507"/>
      <c r="T45" s="1531"/>
      <c r="U45" s="1531"/>
      <c r="V45" s="1532"/>
      <c r="W45" s="1532"/>
      <c r="X45" s="1549"/>
      <c r="Y45" s="1512"/>
    </row>
    <row r="46" spans="1:25" ht="16.5" customHeight="1">
      <c r="A46" s="3062">
        <v>4146</v>
      </c>
      <c r="B46" s="3062"/>
      <c r="C46" s="3062" t="s">
        <v>109</v>
      </c>
      <c r="D46" s="3073" t="s">
        <v>2016</v>
      </c>
      <c r="E46" s="1494" t="s">
        <v>2017</v>
      </c>
      <c r="F46" s="1492"/>
      <c r="G46" s="1510"/>
      <c r="H46" s="1543"/>
      <c r="I46" s="1510"/>
      <c r="J46" s="1510"/>
      <c r="K46" s="1507">
        <v>2850</v>
      </c>
      <c r="L46" s="1505">
        <v>1</v>
      </c>
      <c r="M46" s="1507"/>
      <c r="N46" s="1505">
        <f>+N47</f>
        <v>0</v>
      </c>
      <c r="O46" s="3090">
        <f>IF(Q46&gt;0,N46,"na")</f>
        <v>0</v>
      </c>
      <c r="P46" s="1507">
        <f>+P47</f>
        <v>55000000</v>
      </c>
      <c r="Q46" s="1507">
        <f>+Q47</f>
        <v>180004000</v>
      </c>
      <c r="R46" s="1507">
        <f t="shared" ref="R46:S46" si="16">+R47</f>
        <v>0</v>
      </c>
      <c r="S46" s="1507">
        <f t="shared" si="16"/>
        <v>0</v>
      </c>
      <c r="T46" s="1531">
        <f t="shared" ref="T46:U47" si="17">IF(Q46=0,0,R46/Q46)</f>
        <v>0</v>
      </c>
      <c r="U46" s="1531">
        <f t="shared" si="17"/>
        <v>0</v>
      </c>
      <c r="V46" s="1532"/>
      <c r="W46" s="1532"/>
      <c r="X46" s="1549"/>
      <c r="Y46" s="3068" t="s">
        <v>1970</v>
      </c>
    </row>
    <row r="47" spans="1:25" ht="38.25" customHeight="1">
      <c r="A47" s="3062"/>
      <c r="B47" s="3062"/>
      <c r="C47" s="3062"/>
      <c r="D47" s="3073"/>
      <c r="E47" s="1494" t="s">
        <v>2018</v>
      </c>
      <c r="F47" s="1492"/>
      <c r="G47" s="1510" t="s">
        <v>2015</v>
      </c>
      <c r="H47" s="1543">
        <v>0</v>
      </c>
      <c r="I47" s="1510" t="s">
        <v>5135</v>
      </c>
      <c r="J47" s="1510" t="s">
        <v>1988</v>
      </c>
      <c r="K47" s="1547">
        <v>6350</v>
      </c>
      <c r="L47" s="1548">
        <v>1</v>
      </c>
      <c r="M47" s="1506">
        <v>0</v>
      </c>
      <c r="N47" s="1505">
        <v>0</v>
      </c>
      <c r="O47" s="3090"/>
      <c r="P47" s="1507">
        <v>55000000</v>
      </c>
      <c r="Q47" s="1507">
        <v>180004000</v>
      </c>
      <c r="R47" s="1507">
        <v>0</v>
      </c>
      <c r="S47" s="1507">
        <v>0</v>
      </c>
      <c r="T47" s="1531">
        <f t="shared" si="17"/>
        <v>0</v>
      </c>
      <c r="U47" s="1531">
        <f t="shared" si="17"/>
        <v>0</v>
      </c>
      <c r="V47" s="1532"/>
      <c r="W47" s="1532"/>
      <c r="X47" s="1549"/>
      <c r="Y47" s="3068"/>
    </row>
    <row r="48" spans="1:25" ht="16.5" customHeight="1">
      <c r="A48" s="1492"/>
      <c r="B48" s="1542">
        <v>52010050010</v>
      </c>
      <c r="C48" s="1492" t="s">
        <v>103</v>
      </c>
      <c r="D48" s="1528" t="s">
        <v>2019</v>
      </c>
      <c r="E48" s="1494"/>
      <c r="F48" s="1492"/>
      <c r="G48" s="1510"/>
      <c r="H48" s="1492">
        <f>H50</f>
        <v>155</v>
      </c>
      <c r="I48" s="1510"/>
      <c r="J48" s="1510"/>
      <c r="K48" s="1518"/>
      <c r="L48" s="1519"/>
      <c r="M48" s="1518"/>
      <c r="N48" s="1519"/>
      <c r="O48" s="1492"/>
      <c r="P48" s="1518"/>
      <c r="Q48" s="1518"/>
      <c r="R48" s="1518"/>
      <c r="S48" s="1518"/>
      <c r="T48" s="1531"/>
      <c r="U48" s="1531"/>
      <c r="V48" s="1532"/>
      <c r="W48" s="1532"/>
      <c r="X48" s="1549"/>
      <c r="Y48" s="1502"/>
    </row>
    <row r="49" spans="1:25" ht="94.5" customHeight="1">
      <c r="A49" s="3062">
        <v>4146</v>
      </c>
      <c r="B49" s="3062"/>
      <c r="C49" s="3062" t="s">
        <v>109</v>
      </c>
      <c r="D49" s="3073" t="s">
        <v>2020</v>
      </c>
      <c r="E49" s="1494" t="s">
        <v>2021</v>
      </c>
      <c r="F49" s="1492"/>
      <c r="G49" s="1510"/>
      <c r="H49" s="1492"/>
      <c r="I49" s="1510"/>
      <c r="J49" s="1510"/>
      <c r="K49" s="1507">
        <v>220</v>
      </c>
      <c r="L49" s="1505">
        <v>1</v>
      </c>
      <c r="M49" s="1529"/>
      <c r="N49" s="1505">
        <f>+N50+N51</f>
        <v>0.56999999999999995</v>
      </c>
      <c r="O49" s="3074">
        <f>IF(Q49&gt;0,N49,"na")</f>
        <v>0.56999999999999995</v>
      </c>
      <c r="P49" s="1507">
        <f>+P50+P51</f>
        <v>595000000</v>
      </c>
      <c r="Q49" s="1507">
        <f>+Q50+Q51</f>
        <v>595000000</v>
      </c>
      <c r="R49" s="1507">
        <f t="shared" ref="R49:S49" si="18">+R50+R51</f>
        <v>500332500</v>
      </c>
      <c r="S49" s="1507">
        <f t="shared" si="18"/>
        <v>134590000</v>
      </c>
      <c r="T49" s="1531">
        <f t="shared" ref="T49:U51" si="19">IF(Q49=0,0,R49/Q49)</f>
        <v>0.84089495798319325</v>
      </c>
      <c r="U49" s="1531">
        <f t="shared" si="19"/>
        <v>0.26900111425901774</v>
      </c>
      <c r="V49" s="1532"/>
      <c r="W49" s="1532"/>
      <c r="X49" s="1511"/>
      <c r="Y49" s="3068" t="s">
        <v>1970</v>
      </c>
    </row>
    <row r="50" spans="1:25" ht="54" customHeight="1">
      <c r="A50" s="3062"/>
      <c r="B50" s="3062"/>
      <c r="C50" s="3062"/>
      <c r="D50" s="3073"/>
      <c r="E50" s="1494" t="s">
        <v>2022</v>
      </c>
      <c r="F50" s="1492"/>
      <c r="G50" s="1510" t="s">
        <v>2023</v>
      </c>
      <c r="H50" s="1492">
        <v>155</v>
      </c>
      <c r="I50" s="1510" t="s">
        <v>2024</v>
      </c>
      <c r="J50" s="1510" t="s">
        <v>2025</v>
      </c>
      <c r="K50" s="1507">
        <v>220</v>
      </c>
      <c r="L50" s="1505">
        <v>0.65</v>
      </c>
      <c r="M50" s="1506">
        <f>50+30+35+40</f>
        <v>155</v>
      </c>
      <c r="N50" s="1505">
        <v>0.56999999999999995</v>
      </c>
      <c r="O50" s="3074"/>
      <c r="P50" s="1507">
        <v>250000000</v>
      </c>
      <c r="Q50" s="1507">
        <v>250000000</v>
      </c>
      <c r="R50" s="1507">
        <v>184642500</v>
      </c>
      <c r="S50" s="1507">
        <v>48626000</v>
      </c>
      <c r="T50" s="1531">
        <f t="shared" si="19"/>
        <v>0.73856999999999995</v>
      </c>
      <c r="U50" s="1531">
        <f t="shared" si="19"/>
        <v>0.26335215348579011</v>
      </c>
      <c r="V50" s="1532">
        <v>45358</v>
      </c>
      <c r="W50" s="1532">
        <v>45657</v>
      </c>
      <c r="X50" s="1549" t="s">
        <v>5136</v>
      </c>
      <c r="Y50" s="3068"/>
    </row>
    <row r="51" spans="1:25" ht="25.5" customHeight="1">
      <c r="A51" s="3062"/>
      <c r="B51" s="3062"/>
      <c r="C51" s="3062"/>
      <c r="D51" s="3073"/>
      <c r="E51" s="1494" t="s">
        <v>2026</v>
      </c>
      <c r="F51" s="1492"/>
      <c r="G51" s="1510"/>
      <c r="H51" s="1492"/>
      <c r="I51" s="1510" t="s">
        <v>2027</v>
      </c>
      <c r="J51" s="1510" t="s">
        <v>2028</v>
      </c>
      <c r="K51" s="1507">
        <v>20</v>
      </c>
      <c r="L51" s="1505">
        <v>0.35</v>
      </c>
      <c r="M51" s="1506">
        <v>0</v>
      </c>
      <c r="N51" s="1505">
        <v>0</v>
      </c>
      <c r="O51" s="3074"/>
      <c r="P51" s="1507">
        <v>345000000</v>
      </c>
      <c r="Q51" s="1507">
        <v>345000000</v>
      </c>
      <c r="R51" s="1507">
        <v>315690000</v>
      </c>
      <c r="S51" s="1507">
        <v>85964000</v>
      </c>
      <c r="T51" s="1531">
        <f t="shared" si="19"/>
        <v>0.91504347826086951</v>
      </c>
      <c r="U51" s="1531">
        <f t="shared" si="19"/>
        <v>0.27230510944280784</v>
      </c>
      <c r="V51" s="1532">
        <v>45421</v>
      </c>
      <c r="W51" s="1532">
        <v>45657</v>
      </c>
      <c r="X51" s="1549" t="s">
        <v>5137</v>
      </c>
      <c r="Y51" s="3068"/>
    </row>
    <row r="52" spans="1:25" ht="16.5" customHeight="1">
      <c r="A52" s="1492"/>
      <c r="B52" s="1542">
        <v>52010050011</v>
      </c>
      <c r="C52" s="1492" t="s">
        <v>103</v>
      </c>
      <c r="D52" s="1528" t="s">
        <v>2029</v>
      </c>
      <c r="E52" s="1494"/>
      <c r="F52" s="1545"/>
      <c r="G52" s="1510"/>
      <c r="H52" s="1545">
        <f>H55</f>
        <v>0</v>
      </c>
      <c r="I52" s="1510"/>
      <c r="J52" s="1510"/>
      <c r="K52" s="1518"/>
      <c r="L52" s="1519"/>
      <c r="M52" s="1529"/>
      <c r="N52" s="1519"/>
      <c r="O52" s="1492"/>
      <c r="P52" s="1518"/>
      <c r="Q52" s="1518"/>
      <c r="R52" s="1518"/>
      <c r="S52" s="1518"/>
      <c r="T52" s="1531"/>
      <c r="U52" s="1531"/>
      <c r="V52" s="1532"/>
      <c r="W52" s="1532"/>
      <c r="X52" s="1549"/>
      <c r="Y52" s="1502"/>
    </row>
    <row r="53" spans="1:25" ht="16.5" customHeight="1">
      <c r="A53" s="3062">
        <v>4146</v>
      </c>
      <c r="B53" s="3062"/>
      <c r="C53" s="3062" t="s">
        <v>109</v>
      </c>
      <c r="D53" s="3073" t="s">
        <v>2030</v>
      </c>
      <c r="E53" s="1494" t="s">
        <v>2031</v>
      </c>
      <c r="F53" s="1492"/>
      <c r="G53" s="1510"/>
      <c r="H53" s="1492"/>
      <c r="I53" s="1510"/>
      <c r="J53" s="1510"/>
      <c r="K53" s="1507">
        <v>2300</v>
      </c>
      <c r="L53" s="1505">
        <v>1</v>
      </c>
      <c r="M53" s="1529"/>
      <c r="N53" s="1505">
        <f>+N54+N55</f>
        <v>0.16</v>
      </c>
      <c r="O53" s="3074">
        <f>IF(Q53&gt;0,N53,"na")</f>
        <v>0.16</v>
      </c>
      <c r="P53" s="1507">
        <f>+P54+P55</f>
        <v>2099702336</v>
      </c>
      <c r="Q53" s="1507">
        <f>+Q54+Q55</f>
        <v>2438519266</v>
      </c>
      <c r="R53" s="1507">
        <f t="shared" ref="R53:S53" si="20">+R54+R55</f>
        <v>557747500</v>
      </c>
      <c r="S53" s="1507">
        <f t="shared" si="20"/>
        <v>82009000</v>
      </c>
      <c r="T53" s="1531">
        <f t="shared" ref="T53:U55" si="21">IF(Q53=0,0,R53/Q53)</f>
        <v>0.22872384392307687</v>
      </c>
      <c r="U53" s="1531">
        <f t="shared" si="21"/>
        <v>0.14703606918901474</v>
      </c>
      <c r="V53" s="1532"/>
      <c r="W53" s="1532"/>
      <c r="X53" s="1511"/>
      <c r="Y53" s="3068" t="s">
        <v>1970</v>
      </c>
    </row>
    <row r="54" spans="1:25" ht="108" customHeight="1">
      <c r="A54" s="3062"/>
      <c r="B54" s="3062"/>
      <c r="C54" s="3062"/>
      <c r="D54" s="3073"/>
      <c r="E54" s="1494" t="s">
        <v>2032</v>
      </c>
      <c r="F54" s="1492"/>
      <c r="G54" s="1510"/>
      <c r="H54" s="1492"/>
      <c r="I54" s="1510" t="s">
        <v>2033</v>
      </c>
      <c r="J54" s="1510" t="s">
        <v>2011</v>
      </c>
      <c r="K54" s="1507">
        <v>957</v>
      </c>
      <c r="L54" s="1505">
        <v>0.28000000000000003</v>
      </c>
      <c r="M54" s="1506">
        <v>515</v>
      </c>
      <c r="N54" s="1505">
        <v>0.16</v>
      </c>
      <c r="O54" s="3074"/>
      <c r="P54" s="1507">
        <v>480000000</v>
      </c>
      <c r="Q54" s="1507">
        <v>480000000</v>
      </c>
      <c r="R54" s="1507">
        <v>441522000</v>
      </c>
      <c r="S54" s="1507">
        <v>82009000</v>
      </c>
      <c r="T54" s="1531">
        <f t="shared" si="21"/>
        <v>0.91983749999999997</v>
      </c>
      <c r="U54" s="1531">
        <f t="shared" si="21"/>
        <v>0.18574159385036307</v>
      </c>
      <c r="V54" s="1532">
        <v>45433</v>
      </c>
      <c r="W54" s="1532">
        <v>45657</v>
      </c>
      <c r="X54" s="1553" t="s">
        <v>5138</v>
      </c>
      <c r="Y54" s="3068"/>
    </row>
    <row r="55" spans="1:25" ht="25.5" customHeight="1">
      <c r="A55" s="3062"/>
      <c r="B55" s="3062"/>
      <c r="C55" s="3062"/>
      <c r="D55" s="3066"/>
      <c r="E55" s="1494" t="s">
        <v>2034</v>
      </c>
      <c r="F55" s="1492"/>
      <c r="G55" s="1510" t="s">
        <v>2029</v>
      </c>
      <c r="H55" s="1545">
        <v>0</v>
      </c>
      <c r="I55" s="1510" t="s">
        <v>5139</v>
      </c>
      <c r="J55" s="1510" t="s">
        <v>2035</v>
      </c>
      <c r="K55" s="1507">
        <v>2550</v>
      </c>
      <c r="L55" s="1505">
        <v>0.72</v>
      </c>
      <c r="M55" s="1506">
        <v>0</v>
      </c>
      <c r="N55" s="1505">
        <v>0</v>
      </c>
      <c r="O55" s="3062"/>
      <c r="P55" s="1507">
        <v>1619702336</v>
      </c>
      <c r="Q55" s="1507">
        <v>1958519266</v>
      </c>
      <c r="R55" s="1507">
        <v>116225500</v>
      </c>
      <c r="S55" s="1507">
        <v>0</v>
      </c>
      <c r="T55" s="1531">
        <f>IF(Q55=0,0,R55/Q55)</f>
        <v>5.9343557154469165E-2</v>
      </c>
      <c r="U55" s="1531">
        <f t="shared" si="21"/>
        <v>0</v>
      </c>
      <c r="V55" s="1532">
        <v>45454</v>
      </c>
      <c r="W55" s="1532">
        <v>45657</v>
      </c>
      <c r="X55" s="1554" t="s">
        <v>5140</v>
      </c>
      <c r="Y55" s="3069"/>
    </row>
    <row r="56" spans="1:25" ht="16.5" customHeight="1">
      <c r="A56" s="1492"/>
      <c r="B56" s="1542">
        <v>52010050012</v>
      </c>
      <c r="C56" s="1492" t="s">
        <v>103</v>
      </c>
      <c r="D56" s="1528" t="s">
        <v>2036</v>
      </c>
      <c r="E56" s="1494"/>
      <c r="F56" s="1492"/>
      <c r="G56" s="1510"/>
      <c r="H56" s="1545">
        <f>H58</f>
        <v>0</v>
      </c>
      <c r="I56" s="1510"/>
      <c r="J56" s="1510"/>
      <c r="K56" s="1507"/>
      <c r="L56" s="1505"/>
      <c r="M56" s="1507"/>
      <c r="N56" s="1505"/>
      <c r="O56" s="1492"/>
      <c r="P56" s="1507"/>
      <c r="Q56" s="1507"/>
      <c r="R56" s="1507"/>
      <c r="S56" s="1507"/>
      <c r="T56" s="1531"/>
      <c r="U56" s="1531"/>
      <c r="V56" s="1532"/>
      <c r="W56" s="1532"/>
      <c r="X56" s="1549"/>
      <c r="Y56" s="1512"/>
    </row>
    <row r="57" spans="1:25" ht="16.5" customHeight="1">
      <c r="A57" s="3070">
        <v>4146</v>
      </c>
      <c r="B57" s="3094"/>
      <c r="C57" s="3070" t="s">
        <v>109</v>
      </c>
      <c r="D57" s="3073" t="s">
        <v>2037</v>
      </c>
      <c r="E57" s="1542" t="s">
        <v>2038</v>
      </c>
      <c r="F57" s="1492"/>
      <c r="G57" s="1510"/>
      <c r="H57" s="1545"/>
      <c r="I57" s="1510"/>
      <c r="J57" s="1510"/>
      <c r="K57" s="1507">
        <v>50</v>
      </c>
      <c r="L57" s="1505">
        <v>1</v>
      </c>
      <c r="M57" s="1507"/>
      <c r="N57" s="1505">
        <f>+N58</f>
        <v>0</v>
      </c>
      <c r="O57" s="1492"/>
      <c r="P57" s="1507">
        <f>+P58</f>
        <v>45000000</v>
      </c>
      <c r="Q57" s="1507">
        <f>+Q58</f>
        <v>82350000</v>
      </c>
      <c r="R57" s="1507">
        <f t="shared" ref="R57:S57" si="22">+R58</f>
        <v>0</v>
      </c>
      <c r="S57" s="1507">
        <f t="shared" si="22"/>
        <v>0</v>
      </c>
      <c r="T57" s="1531">
        <f t="shared" ref="T57:U57" si="23">IF(Q57=0,0,R57/Q57)</f>
        <v>0</v>
      </c>
      <c r="U57" s="1531">
        <f t="shared" si="23"/>
        <v>0</v>
      </c>
      <c r="V57" s="1532"/>
      <c r="W57" s="1532"/>
      <c r="X57" s="1549"/>
      <c r="Y57" s="3068" t="s">
        <v>1970</v>
      </c>
    </row>
    <row r="58" spans="1:25" ht="25.5" customHeight="1">
      <c r="A58" s="3072"/>
      <c r="B58" s="3095"/>
      <c r="C58" s="3072"/>
      <c r="D58" s="3066"/>
      <c r="E58" s="1494" t="s">
        <v>2039</v>
      </c>
      <c r="F58" s="1492"/>
      <c r="G58" s="1510" t="s">
        <v>2036</v>
      </c>
      <c r="H58" s="1545">
        <v>0</v>
      </c>
      <c r="I58" s="1510" t="s">
        <v>2040</v>
      </c>
      <c r="J58" s="1510" t="s">
        <v>2041</v>
      </c>
      <c r="K58" s="1507">
        <v>50</v>
      </c>
      <c r="L58" s="1505">
        <v>1</v>
      </c>
      <c r="M58" s="1506">
        <v>0</v>
      </c>
      <c r="N58" s="1505">
        <v>0</v>
      </c>
      <c r="O58" s="1556">
        <f>IF(Q57&gt;0,N57,"na")</f>
        <v>0</v>
      </c>
      <c r="P58" s="1507">
        <v>45000000</v>
      </c>
      <c r="Q58" s="1507">
        <v>82350000</v>
      </c>
      <c r="R58" s="1507">
        <v>0</v>
      </c>
      <c r="S58" s="1507">
        <v>0</v>
      </c>
      <c r="T58" s="1531">
        <f>IF(Q58=0,0,R58/Q58)</f>
        <v>0</v>
      </c>
      <c r="U58" s="1531">
        <f>IF(R58=0,0,S58/R58)</f>
        <v>0</v>
      </c>
      <c r="V58" s="1532"/>
      <c r="W58" s="1532"/>
      <c r="X58" s="1549"/>
      <c r="Y58" s="3069"/>
    </row>
    <row r="59" spans="1:25" ht="16.5" customHeight="1">
      <c r="A59" s="1492"/>
      <c r="B59" s="1542">
        <v>52010050015</v>
      </c>
      <c r="C59" s="1492" t="s">
        <v>103</v>
      </c>
      <c r="D59" s="1528" t="s">
        <v>2042</v>
      </c>
      <c r="E59" s="1494"/>
      <c r="F59" s="1545"/>
      <c r="G59" s="1510"/>
      <c r="H59" s="1545">
        <f>H61</f>
        <v>0</v>
      </c>
      <c r="I59" s="1510"/>
      <c r="J59" s="1510"/>
      <c r="K59" s="1518"/>
      <c r="L59" s="1519"/>
      <c r="M59" s="1529"/>
      <c r="N59" s="1519"/>
      <c r="O59" s="1492"/>
      <c r="P59" s="1518"/>
      <c r="Q59" s="1518"/>
      <c r="R59" s="1518"/>
      <c r="S59" s="1518"/>
      <c r="T59" s="1531"/>
      <c r="U59" s="1531"/>
      <c r="V59" s="1532"/>
      <c r="W59" s="1532"/>
      <c r="X59" s="1549"/>
      <c r="Y59" s="1502"/>
    </row>
    <row r="60" spans="1:25" ht="16.5" customHeight="1">
      <c r="A60" s="3070">
        <v>4146</v>
      </c>
      <c r="B60" s="3070"/>
      <c r="C60" s="3070" t="s">
        <v>109</v>
      </c>
      <c r="D60" s="3083" t="s">
        <v>2043</v>
      </c>
      <c r="E60" s="1494" t="s">
        <v>2044</v>
      </c>
      <c r="F60" s="1492"/>
      <c r="G60" s="1510"/>
      <c r="H60" s="1492"/>
      <c r="I60" s="1510"/>
      <c r="J60" s="1510"/>
      <c r="K60" s="1507">
        <v>3380</v>
      </c>
      <c r="L60" s="1505">
        <v>1</v>
      </c>
      <c r="M60" s="1529"/>
      <c r="N60" s="1505">
        <f>N61</f>
        <v>0.14000000000000001</v>
      </c>
      <c r="O60" s="3091">
        <f>IF(Q60&gt;0,N60,"na")</f>
        <v>0.14000000000000001</v>
      </c>
      <c r="P60" s="1507">
        <f>P61</f>
        <v>145000000</v>
      </c>
      <c r="Q60" s="1507">
        <f>Q61</f>
        <v>277775000</v>
      </c>
      <c r="R60" s="1507">
        <f t="shared" ref="R60:S60" si="24">R61</f>
        <v>121668000</v>
      </c>
      <c r="S60" s="1507">
        <f t="shared" si="24"/>
        <v>32045000</v>
      </c>
      <c r="T60" s="1531">
        <f t="shared" ref="T60:U61" si="25">IF(Q60=0,0,R60/Q60)</f>
        <v>0.4380091800918009</v>
      </c>
      <c r="U60" s="1531">
        <f t="shared" si="25"/>
        <v>0.26338067528027093</v>
      </c>
      <c r="V60" s="1532"/>
      <c r="W60" s="1532"/>
      <c r="X60" s="1511"/>
      <c r="Y60" s="3079" t="s">
        <v>1970</v>
      </c>
    </row>
    <row r="61" spans="1:25" ht="25.5" customHeight="1">
      <c r="A61" s="3071"/>
      <c r="B61" s="3071"/>
      <c r="C61" s="3071"/>
      <c r="D61" s="3084"/>
      <c r="E61" s="1494" t="s">
        <v>2045</v>
      </c>
      <c r="F61" s="1492"/>
      <c r="G61" s="1510" t="s">
        <v>2042</v>
      </c>
      <c r="H61" s="1545">
        <v>0</v>
      </c>
      <c r="I61" s="1510" t="s">
        <v>5141</v>
      </c>
      <c r="J61" s="1510" t="s">
        <v>1980</v>
      </c>
      <c r="K61" s="1507">
        <v>5120</v>
      </c>
      <c r="L61" s="1505">
        <v>1</v>
      </c>
      <c r="M61" s="1506">
        <v>525</v>
      </c>
      <c r="N61" s="1505">
        <v>0.14000000000000001</v>
      </c>
      <c r="O61" s="3092"/>
      <c r="P61" s="1507">
        <v>145000000</v>
      </c>
      <c r="Q61" s="1507">
        <v>277775000</v>
      </c>
      <c r="R61" s="1507">
        <v>121668000</v>
      </c>
      <c r="S61" s="1507">
        <v>32045000</v>
      </c>
      <c r="T61" s="1531">
        <f t="shared" si="25"/>
        <v>0.4380091800918009</v>
      </c>
      <c r="U61" s="1531">
        <f>IF(R61=0,0,S61/R61)</f>
        <v>0.26338067528027093</v>
      </c>
      <c r="V61" s="1532">
        <v>45421</v>
      </c>
      <c r="W61" s="1532">
        <v>45657</v>
      </c>
      <c r="X61" s="1549" t="s">
        <v>5142</v>
      </c>
      <c r="Y61" s="3089"/>
    </row>
    <row r="62" spans="1:25" ht="16.5" customHeight="1">
      <c r="A62" s="1492"/>
      <c r="B62" s="1542">
        <v>52010050016</v>
      </c>
      <c r="C62" s="1492" t="s">
        <v>103</v>
      </c>
      <c r="D62" s="1528" t="s">
        <v>2046</v>
      </c>
      <c r="E62" s="1494"/>
      <c r="F62" s="1492"/>
      <c r="G62" s="1510"/>
      <c r="H62" s="1492">
        <f>H64</f>
        <v>0</v>
      </c>
      <c r="I62" s="1510"/>
      <c r="J62" s="1510"/>
      <c r="K62" s="1518"/>
      <c r="L62" s="1519"/>
      <c r="M62" s="1529"/>
      <c r="N62" s="1519"/>
      <c r="O62" s="1530"/>
      <c r="P62" s="1529"/>
      <c r="Q62" s="1518"/>
      <c r="R62" s="1518"/>
      <c r="S62" s="1518"/>
      <c r="T62" s="1531"/>
      <c r="U62" s="1531"/>
      <c r="V62" s="1494"/>
      <c r="W62" s="1494"/>
      <c r="X62" s="1511"/>
      <c r="Y62" s="1544"/>
    </row>
    <row r="63" spans="1:25" ht="108" customHeight="1">
      <c r="A63" s="3062">
        <v>4146</v>
      </c>
      <c r="B63" s="3062"/>
      <c r="C63" s="3062" t="s">
        <v>109</v>
      </c>
      <c r="D63" s="3073" t="s">
        <v>2047</v>
      </c>
      <c r="E63" s="1494" t="s">
        <v>2048</v>
      </c>
      <c r="F63" s="1492"/>
      <c r="G63" s="1510"/>
      <c r="H63" s="1492"/>
      <c r="I63" s="1510"/>
      <c r="J63" s="1510"/>
      <c r="K63" s="1507">
        <v>1</v>
      </c>
      <c r="L63" s="1505">
        <v>1</v>
      </c>
      <c r="M63" s="1529"/>
      <c r="N63" s="1505">
        <f>+N64+N65</f>
        <v>0</v>
      </c>
      <c r="O63" s="3074">
        <f>IF(Q63&gt;0,N63,"na")</f>
        <v>0</v>
      </c>
      <c r="P63" s="1507">
        <f>+P64+P65</f>
        <v>128517628</v>
      </c>
      <c r="Q63" s="1507">
        <f>+Q64+Q65</f>
        <v>197925504</v>
      </c>
      <c r="R63" s="1507">
        <f t="shared" ref="R63:S63" si="26">+R64+R65</f>
        <v>0</v>
      </c>
      <c r="S63" s="1507">
        <f t="shared" si="26"/>
        <v>0</v>
      </c>
      <c r="T63" s="1531">
        <f>IF(Q63=0,0,R63/Q63)</f>
        <v>0</v>
      </c>
      <c r="U63" s="1531">
        <f>IF(R63=0,0,S63/R63)</f>
        <v>0</v>
      </c>
      <c r="V63" s="1532"/>
      <c r="W63" s="1532"/>
      <c r="X63" s="1511"/>
      <c r="Y63" s="3068" t="s">
        <v>1970</v>
      </c>
    </row>
    <row r="64" spans="1:25" ht="40.5" customHeight="1">
      <c r="A64" s="3062"/>
      <c r="B64" s="3062"/>
      <c r="C64" s="3062"/>
      <c r="D64" s="3073"/>
      <c r="E64" s="1494" t="s">
        <v>2049</v>
      </c>
      <c r="F64" s="1492"/>
      <c r="G64" s="1510" t="s">
        <v>2046</v>
      </c>
      <c r="H64" s="1492">
        <v>0</v>
      </c>
      <c r="I64" s="1510" t="s">
        <v>2050</v>
      </c>
      <c r="J64" s="1510" t="s">
        <v>2051</v>
      </c>
      <c r="K64" s="1507">
        <v>1</v>
      </c>
      <c r="L64" s="1505">
        <v>0.96</v>
      </c>
      <c r="M64" s="1506">
        <v>0</v>
      </c>
      <c r="N64" s="1505">
        <v>0</v>
      </c>
      <c r="O64" s="3074"/>
      <c r="P64" s="1507">
        <v>127644028</v>
      </c>
      <c r="Q64" s="1507">
        <v>127644028</v>
      </c>
      <c r="R64" s="1507">
        <v>0</v>
      </c>
      <c r="S64" s="1507">
        <v>0</v>
      </c>
      <c r="T64" s="1531">
        <f t="shared" ref="T64:U75" si="27">IF(Q64=0,0,R64/Q64)</f>
        <v>0</v>
      </c>
      <c r="U64" s="1531">
        <f t="shared" si="27"/>
        <v>0</v>
      </c>
      <c r="V64" s="1532"/>
      <c r="W64" s="1532"/>
      <c r="X64" s="1511"/>
      <c r="Y64" s="3068"/>
    </row>
    <row r="65" spans="1:25" ht="16.5" customHeight="1">
      <c r="A65" s="3062"/>
      <c r="B65" s="3062"/>
      <c r="C65" s="3062"/>
      <c r="D65" s="3073"/>
      <c r="E65" s="1494" t="s">
        <v>2052</v>
      </c>
      <c r="F65" s="1492"/>
      <c r="G65" s="1510"/>
      <c r="H65" s="1492"/>
      <c r="I65" s="1510" t="s">
        <v>2053</v>
      </c>
      <c r="J65" s="1510" t="s">
        <v>2054</v>
      </c>
      <c r="K65" s="1547">
        <v>28</v>
      </c>
      <c r="L65" s="1548">
        <v>0.04</v>
      </c>
      <c r="M65" s="1506">
        <v>0</v>
      </c>
      <c r="N65" s="1505">
        <v>0</v>
      </c>
      <c r="O65" s="3074"/>
      <c r="P65" s="1507">
        <v>873600</v>
      </c>
      <c r="Q65" s="1507">
        <v>70281476</v>
      </c>
      <c r="R65" s="1507">
        <v>0</v>
      </c>
      <c r="S65" s="1507">
        <v>0</v>
      </c>
      <c r="T65" s="1531">
        <f>IF(Q65=0,0,R65/Q65)</f>
        <v>0</v>
      </c>
      <c r="U65" s="1531">
        <f>IF(R65=0,0,S65/R65)</f>
        <v>0</v>
      </c>
      <c r="V65" s="1532"/>
      <c r="W65" s="1532"/>
      <c r="X65" s="1511"/>
      <c r="Y65" s="3068"/>
    </row>
    <row r="66" spans="1:25" ht="16.5" customHeight="1">
      <c r="A66" s="1492"/>
      <c r="B66" s="1542">
        <v>52010050017</v>
      </c>
      <c r="C66" s="1492" t="s">
        <v>103</v>
      </c>
      <c r="D66" s="1528" t="s">
        <v>2055</v>
      </c>
      <c r="E66" s="1494"/>
      <c r="F66" s="1492"/>
      <c r="G66" s="1510"/>
      <c r="H66" s="1492">
        <f>H68</f>
        <v>0</v>
      </c>
      <c r="I66" s="1510"/>
      <c r="J66" s="1510"/>
      <c r="K66" s="1518"/>
      <c r="L66" s="1557"/>
      <c r="M66" s="1529"/>
      <c r="N66" s="1519"/>
      <c r="O66" s="1530"/>
      <c r="P66" s="1529"/>
      <c r="Q66" s="1518"/>
      <c r="R66" s="1518"/>
      <c r="S66" s="1518"/>
      <c r="T66" s="1531"/>
      <c r="U66" s="1531"/>
      <c r="V66" s="1494"/>
      <c r="W66" s="1494"/>
      <c r="X66" s="1511"/>
      <c r="Y66" s="1544"/>
    </row>
    <row r="67" spans="1:25" ht="16.5" customHeight="1">
      <c r="A67" s="3062">
        <v>4146</v>
      </c>
      <c r="B67" s="3062"/>
      <c r="C67" s="3075" t="s">
        <v>109</v>
      </c>
      <c r="D67" s="3073" t="s">
        <v>2056</v>
      </c>
      <c r="E67" s="1494" t="s">
        <v>2057</v>
      </c>
      <c r="F67" s="1492"/>
      <c r="G67" s="1510"/>
      <c r="H67" s="1492"/>
      <c r="I67" s="1510"/>
      <c r="J67" s="1510"/>
      <c r="K67" s="1507">
        <v>1</v>
      </c>
      <c r="L67" s="1505">
        <v>1</v>
      </c>
      <c r="M67" s="1529"/>
      <c r="N67" s="1505">
        <f>+N68</f>
        <v>0</v>
      </c>
      <c r="O67" s="3074">
        <f>IF(Q67&gt;0,N67,"na")</f>
        <v>0</v>
      </c>
      <c r="P67" s="1507">
        <f>+P68</f>
        <v>128793345</v>
      </c>
      <c r="Q67" s="1507">
        <f>+Q68</f>
        <v>298793345</v>
      </c>
      <c r="R67" s="1507">
        <f t="shared" ref="R67:S67" si="28">+R68</f>
        <v>102526347</v>
      </c>
      <c r="S67" s="1507">
        <f t="shared" si="28"/>
        <v>0</v>
      </c>
      <c r="T67" s="1531">
        <f t="shared" si="27"/>
        <v>0.34313464043183423</v>
      </c>
      <c r="U67" s="1531">
        <f t="shared" si="27"/>
        <v>0</v>
      </c>
      <c r="V67" s="1532"/>
      <c r="W67" s="1532"/>
      <c r="X67" s="1511"/>
      <c r="Y67" s="3068" t="s">
        <v>1970</v>
      </c>
    </row>
    <row r="68" spans="1:25" ht="38.25" customHeight="1">
      <c r="A68" s="3062"/>
      <c r="B68" s="3062"/>
      <c r="C68" s="3062"/>
      <c r="D68" s="3066"/>
      <c r="E68" s="1494" t="s">
        <v>2058</v>
      </c>
      <c r="F68" s="1492"/>
      <c r="G68" s="1510" t="s">
        <v>2055</v>
      </c>
      <c r="H68" s="1492">
        <v>0</v>
      </c>
      <c r="I68" s="1510" t="s">
        <v>5143</v>
      </c>
      <c r="J68" s="1510" t="s">
        <v>2028</v>
      </c>
      <c r="K68" s="1507">
        <v>1000</v>
      </c>
      <c r="L68" s="1505">
        <v>1</v>
      </c>
      <c r="M68" s="1506">
        <v>0</v>
      </c>
      <c r="N68" s="1505">
        <v>0</v>
      </c>
      <c r="O68" s="3062"/>
      <c r="P68" s="1507">
        <v>128793345</v>
      </c>
      <c r="Q68" s="1507">
        <v>298793345</v>
      </c>
      <c r="R68" s="1507">
        <v>102526347</v>
      </c>
      <c r="S68" s="1507">
        <v>0</v>
      </c>
      <c r="T68" s="1531">
        <f t="shared" si="27"/>
        <v>0.34313464043183423</v>
      </c>
      <c r="U68" s="1531">
        <f>IF(R68=0,0,S68/R68)</f>
        <v>0</v>
      </c>
      <c r="V68" s="1532">
        <v>45435</v>
      </c>
      <c r="W68" s="1532">
        <v>45657</v>
      </c>
      <c r="X68" s="1511" t="s">
        <v>5144</v>
      </c>
      <c r="Y68" s="3069"/>
    </row>
    <row r="69" spans="1:25" ht="16.5" customHeight="1">
      <c r="A69" s="1492"/>
      <c r="B69" s="1542">
        <v>52010050018</v>
      </c>
      <c r="C69" s="1492" t="s">
        <v>103</v>
      </c>
      <c r="D69" s="1528" t="s">
        <v>2059</v>
      </c>
      <c r="E69" s="1494"/>
      <c r="F69" s="1492"/>
      <c r="G69" s="1510"/>
      <c r="H69" s="1492">
        <f>H71</f>
        <v>1</v>
      </c>
      <c r="I69" s="1510"/>
      <c r="J69" s="1510"/>
      <c r="K69" s="1518"/>
      <c r="L69" s="1557"/>
      <c r="M69" s="1529"/>
      <c r="N69" s="1519"/>
      <c r="O69" s="1530"/>
      <c r="P69" s="1529"/>
      <c r="Q69" s="1518"/>
      <c r="R69" s="1518"/>
      <c r="S69" s="1518"/>
      <c r="T69" s="1531"/>
      <c r="U69" s="1531"/>
      <c r="V69" s="1494"/>
      <c r="W69" s="1494"/>
      <c r="X69" s="1511"/>
      <c r="Y69" s="1544"/>
    </row>
    <row r="70" spans="1:25" ht="16.5" customHeight="1">
      <c r="A70" s="3062">
        <v>4146</v>
      </c>
      <c r="B70" s="3062"/>
      <c r="C70" s="3075" t="s">
        <v>109</v>
      </c>
      <c r="D70" s="3073" t="s">
        <v>2060</v>
      </c>
      <c r="E70" s="1494" t="s">
        <v>2061</v>
      </c>
      <c r="F70" s="1492"/>
      <c r="G70" s="1510"/>
      <c r="H70" s="1492"/>
      <c r="I70" s="1510"/>
      <c r="J70" s="1510"/>
      <c r="K70" s="1507">
        <v>4</v>
      </c>
      <c r="L70" s="1505">
        <v>1</v>
      </c>
      <c r="M70" s="1529"/>
      <c r="N70" s="1505">
        <f>N71</f>
        <v>0.25</v>
      </c>
      <c r="O70" s="3074">
        <f>IF(Q70&gt;0,N70,"na")</f>
        <v>0.25</v>
      </c>
      <c r="P70" s="1507">
        <f>P71</f>
        <v>65000000</v>
      </c>
      <c r="Q70" s="1507">
        <f>Q71</f>
        <v>89000000</v>
      </c>
      <c r="R70" s="1507">
        <f t="shared" ref="R70:S70" si="29">R71</f>
        <v>23539500</v>
      </c>
      <c r="S70" s="1507">
        <f t="shared" si="29"/>
        <v>0</v>
      </c>
      <c r="T70" s="1531">
        <f t="shared" si="27"/>
        <v>0.26448876404494381</v>
      </c>
      <c r="U70" s="1531">
        <f t="shared" si="27"/>
        <v>0</v>
      </c>
      <c r="V70" s="1532"/>
      <c r="W70" s="1532"/>
      <c r="X70" s="1511"/>
      <c r="Y70" s="3068" t="s">
        <v>1970</v>
      </c>
    </row>
    <row r="71" spans="1:25" ht="40.5">
      <c r="A71" s="3062"/>
      <c r="B71" s="3062"/>
      <c r="C71" s="3062"/>
      <c r="D71" s="3066"/>
      <c r="E71" s="1494" t="s">
        <v>2062</v>
      </c>
      <c r="F71" s="1492"/>
      <c r="G71" s="1510" t="s">
        <v>2063</v>
      </c>
      <c r="H71" s="1545">
        <f>+M71</f>
        <v>1</v>
      </c>
      <c r="I71" s="1510" t="s">
        <v>5145</v>
      </c>
      <c r="J71" s="1510" t="s">
        <v>2064</v>
      </c>
      <c r="K71" s="1507">
        <v>6</v>
      </c>
      <c r="L71" s="1505">
        <v>1</v>
      </c>
      <c r="M71" s="1506">
        <v>1</v>
      </c>
      <c r="N71" s="1505">
        <v>0.25</v>
      </c>
      <c r="O71" s="3062"/>
      <c r="P71" s="1507">
        <v>65000000</v>
      </c>
      <c r="Q71" s="1507">
        <v>89000000</v>
      </c>
      <c r="R71" s="1507">
        <v>23539500</v>
      </c>
      <c r="S71" s="1507">
        <v>0</v>
      </c>
      <c r="T71" s="1531">
        <f t="shared" si="27"/>
        <v>0.26448876404494381</v>
      </c>
      <c r="U71" s="1531">
        <f t="shared" si="27"/>
        <v>0</v>
      </c>
      <c r="V71" s="1532">
        <v>45469</v>
      </c>
      <c r="W71" s="1532">
        <v>45657</v>
      </c>
      <c r="X71" s="1511" t="s">
        <v>5146</v>
      </c>
      <c r="Y71" s="3069"/>
    </row>
    <row r="72" spans="1:25" ht="16.5" customHeight="1">
      <c r="A72" s="1492"/>
      <c r="B72" s="1492">
        <v>52010050019</v>
      </c>
      <c r="C72" s="1492" t="s">
        <v>103</v>
      </c>
      <c r="D72" s="1510" t="s">
        <v>5147</v>
      </c>
      <c r="E72" s="1494"/>
      <c r="F72" s="1492"/>
      <c r="G72" s="1510"/>
      <c r="H72" s="1492"/>
      <c r="I72" s="1510"/>
      <c r="J72" s="1510"/>
      <c r="K72" s="1507"/>
      <c r="L72" s="1505"/>
      <c r="M72" s="1506"/>
      <c r="N72" s="1505"/>
      <c r="O72" s="1492"/>
      <c r="P72" s="1507"/>
      <c r="Q72" s="1507"/>
      <c r="R72" s="1507"/>
      <c r="S72" s="1507"/>
      <c r="T72" s="1531"/>
      <c r="U72" s="1531"/>
      <c r="V72" s="1532"/>
      <c r="W72" s="1532"/>
      <c r="X72" s="1511"/>
      <c r="Y72" s="1558"/>
    </row>
    <row r="73" spans="1:25" ht="16.5" customHeight="1">
      <c r="A73" s="1492"/>
      <c r="B73" s="3076"/>
      <c r="C73" s="3070" t="s">
        <v>109</v>
      </c>
      <c r="D73" s="3079" t="s">
        <v>5148</v>
      </c>
      <c r="E73" s="1494" t="s">
        <v>5149</v>
      </c>
      <c r="F73" s="1492"/>
      <c r="G73" s="1510"/>
      <c r="H73" s="1492"/>
      <c r="I73" s="1510"/>
      <c r="J73" s="1510"/>
      <c r="K73" s="1507"/>
      <c r="L73" s="1505">
        <f>+L74+L75</f>
        <v>1</v>
      </c>
      <c r="M73" s="1506"/>
      <c r="N73" s="1505">
        <f>+N74+N75</f>
        <v>0</v>
      </c>
      <c r="O73" s="3074">
        <f>IF(Q73&gt;0,N73,"na")</f>
        <v>0</v>
      </c>
      <c r="P73" s="1507">
        <f>+P74+P75</f>
        <v>0</v>
      </c>
      <c r="Q73" s="1507">
        <f>+Q74+Q75</f>
        <v>1571495130</v>
      </c>
      <c r="R73" s="1507">
        <f t="shared" ref="R73:U73" si="30">+R74+R75</f>
        <v>576585000</v>
      </c>
      <c r="S73" s="1507">
        <f t="shared" si="30"/>
        <v>67793000</v>
      </c>
      <c r="T73" s="1531">
        <f t="shared" si="30"/>
        <v>0.69176153513051197</v>
      </c>
      <c r="U73" s="1531">
        <f t="shared" si="30"/>
        <v>0.17578105187475196</v>
      </c>
      <c r="V73" s="1532"/>
      <c r="W73" s="1532"/>
      <c r="X73" s="1511"/>
      <c r="Y73" s="3079" t="s">
        <v>1970</v>
      </c>
    </row>
    <row r="74" spans="1:25" ht="16.5" customHeight="1">
      <c r="A74" s="1492"/>
      <c r="B74" s="3077"/>
      <c r="C74" s="3071"/>
      <c r="D74" s="3089"/>
      <c r="E74" s="1494" t="s">
        <v>5150</v>
      </c>
      <c r="F74" s="1492"/>
      <c r="G74" s="1510" t="s">
        <v>5151</v>
      </c>
      <c r="H74" s="1494">
        <v>1</v>
      </c>
      <c r="I74" s="1510" t="s">
        <v>5152</v>
      </c>
      <c r="J74" s="1510" t="s">
        <v>2198</v>
      </c>
      <c r="K74" s="1507">
        <v>1</v>
      </c>
      <c r="L74" s="1505">
        <v>0.8</v>
      </c>
      <c r="M74" s="1506"/>
      <c r="N74" s="1505">
        <v>0</v>
      </c>
      <c r="O74" s="3074"/>
      <c r="P74" s="1507">
        <v>0</v>
      </c>
      <c r="Q74" s="1507">
        <v>879239220</v>
      </c>
      <c r="R74" s="1507">
        <v>459450500</v>
      </c>
      <c r="S74" s="1507">
        <v>63355000</v>
      </c>
      <c r="T74" s="1531">
        <f t="shared" si="27"/>
        <v>0.52255460123810216</v>
      </c>
      <c r="U74" s="1531">
        <f>IF(R74=0,0,S74/R74)</f>
        <v>0.13789298303081615</v>
      </c>
      <c r="V74" s="1532">
        <v>45428</v>
      </c>
      <c r="W74" s="1532">
        <v>45657</v>
      </c>
      <c r="X74" s="1511" t="s">
        <v>5153</v>
      </c>
      <c r="Y74" s="3089"/>
    </row>
    <row r="75" spans="1:25" ht="81" customHeight="1">
      <c r="A75" s="1492"/>
      <c r="B75" s="3078"/>
      <c r="C75" s="3072"/>
      <c r="D75" s="3080"/>
      <c r="E75" s="1494" t="s">
        <v>5154</v>
      </c>
      <c r="F75" s="1492"/>
      <c r="G75" s="1510"/>
      <c r="H75" s="1537">
        <v>6918</v>
      </c>
      <c r="I75" s="1510" t="s">
        <v>5155</v>
      </c>
      <c r="J75" s="1510" t="s">
        <v>2176</v>
      </c>
      <c r="K75" s="1507">
        <v>14000</v>
      </c>
      <c r="L75" s="1505">
        <v>0.2</v>
      </c>
      <c r="M75" s="1506"/>
      <c r="N75" s="1505">
        <v>0</v>
      </c>
      <c r="O75" s="3074"/>
      <c r="P75" s="1507">
        <v>0</v>
      </c>
      <c r="Q75" s="1507">
        <v>692255910</v>
      </c>
      <c r="R75" s="1507">
        <v>117134500</v>
      </c>
      <c r="S75" s="1507">
        <v>4438000</v>
      </c>
      <c r="T75" s="1531">
        <f t="shared" si="27"/>
        <v>0.16920693389240982</v>
      </c>
      <c r="U75" s="1531">
        <f>IF(R75=0,0,S75/R75)</f>
        <v>3.7888068843935814E-2</v>
      </c>
      <c r="V75" s="1532">
        <v>45428</v>
      </c>
      <c r="W75" s="1532">
        <v>45657</v>
      </c>
      <c r="X75" s="1511" t="s">
        <v>5153</v>
      </c>
      <c r="Y75" s="3080"/>
    </row>
    <row r="76" spans="1:25" ht="25.5" customHeight="1">
      <c r="A76" s="1513"/>
      <c r="B76" s="1513">
        <v>5202</v>
      </c>
      <c r="C76" s="1513" t="s">
        <v>101</v>
      </c>
      <c r="D76" s="1516" t="s">
        <v>2065</v>
      </c>
      <c r="E76" s="1515"/>
      <c r="F76" s="1513"/>
      <c r="G76" s="1516"/>
      <c r="H76" s="1513"/>
      <c r="I76" s="1517"/>
      <c r="J76" s="1517"/>
      <c r="K76" s="1518"/>
      <c r="L76" s="1519"/>
      <c r="M76" s="1518"/>
      <c r="N76" s="1519"/>
      <c r="O76" s="1520"/>
      <c r="P76" s="1529"/>
      <c r="Q76" s="1518"/>
      <c r="R76" s="1518"/>
      <c r="S76" s="1518"/>
      <c r="T76" s="1519"/>
      <c r="U76" s="1519"/>
      <c r="V76" s="1515"/>
      <c r="W76" s="1515"/>
      <c r="X76" s="1521"/>
      <c r="Y76" s="1559"/>
    </row>
    <row r="77" spans="1:25" ht="33">
      <c r="A77" s="1480"/>
      <c r="B77" s="1480">
        <v>5202001</v>
      </c>
      <c r="C77" s="1480" t="s">
        <v>102</v>
      </c>
      <c r="D77" s="1523" t="s">
        <v>2066</v>
      </c>
      <c r="E77" s="1482"/>
      <c r="F77" s="1480"/>
      <c r="G77" s="1481"/>
      <c r="H77" s="1482"/>
      <c r="I77" s="1523"/>
      <c r="J77" s="1523"/>
      <c r="K77" s="1524"/>
      <c r="L77" s="1560"/>
      <c r="M77" s="1524"/>
      <c r="N77" s="1519"/>
      <c r="O77" s="1525"/>
      <c r="P77" s="1529"/>
      <c r="Q77" s="1518"/>
      <c r="R77" s="1518"/>
      <c r="S77" s="1518"/>
      <c r="T77" s="1519"/>
      <c r="U77" s="1519"/>
      <c r="V77" s="1482"/>
      <c r="W77" s="1482"/>
      <c r="X77" s="1527"/>
      <c r="Y77" s="1561"/>
    </row>
    <row r="78" spans="1:25" ht="81" customHeight="1">
      <c r="A78" s="1480"/>
      <c r="B78" s="1542">
        <v>52020010001</v>
      </c>
      <c r="C78" s="1542" t="s">
        <v>103</v>
      </c>
      <c r="D78" s="1528" t="s">
        <v>2067</v>
      </c>
      <c r="E78" s="1482"/>
      <c r="F78" s="1492"/>
      <c r="G78" s="1481"/>
      <c r="H78" s="1494">
        <f>H80</f>
        <v>0</v>
      </c>
      <c r="I78" s="1523"/>
      <c r="J78" s="1523"/>
      <c r="K78" s="1524"/>
      <c r="L78" s="1560"/>
      <c r="M78" s="1524"/>
      <c r="N78" s="1519"/>
      <c r="O78" s="1525"/>
      <c r="P78" s="1529"/>
      <c r="Q78" s="1518"/>
      <c r="R78" s="1518"/>
      <c r="S78" s="1518"/>
      <c r="T78" s="1519"/>
      <c r="U78" s="1519"/>
      <c r="V78" s="1482"/>
      <c r="W78" s="1482"/>
      <c r="X78" s="1527"/>
      <c r="Y78" s="1561"/>
    </row>
    <row r="79" spans="1:25" ht="25.5" customHeight="1">
      <c r="A79" s="3079">
        <v>4146</v>
      </c>
      <c r="B79" s="3081"/>
      <c r="C79" s="3070" t="s">
        <v>109</v>
      </c>
      <c r="D79" s="3083" t="s">
        <v>2068</v>
      </c>
      <c r="E79" s="1494" t="s">
        <v>2069</v>
      </c>
      <c r="F79" s="1480"/>
      <c r="G79" s="1481"/>
      <c r="H79" s="1482"/>
      <c r="I79" s="1523"/>
      <c r="J79" s="1523"/>
      <c r="K79" s="1507">
        <v>1</v>
      </c>
      <c r="L79" s="1505">
        <v>1</v>
      </c>
      <c r="M79" s="1524"/>
      <c r="N79" s="1505">
        <f>N80</f>
        <v>0</v>
      </c>
      <c r="O79" s="3091">
        <f>IF(Q79&gt;0,N79,"na")</f>
        <v>0</v>
      </c>
      <c r="P79" s="1529">
        <f>+P80</f>
        <v>124435440</v>
      </c>
      <c r="Q79" s="1529">
        <f>+Q80</f>
        <v>334435440</v>
      </c>
      <c r="R79" s="1529">
        <f t="shared" ref="R79:S79" si="31">+R80</f>
        <v>0</v>
      </c>
      <c r="S79" s="1529">
        <f t="shared" si="31"/>
        <v>0</v>
      </c>
      <c r="T79" s="1505">
        <f t="shared" ref="T79:U79" si="32">IF(Q79=0,0,R79/Q79)</f>
        <v>0</v>
      </c>
      <c r="U79" s="1505">
        <f t="shared" si="32"/>
        <v>0</v>
      </c>
      <c r="V79" s="1482"/>
      <c r="W79" s="1482"/>
      <c r="X79" s="1527"/>
      <c r="Y79" s="3079" t="s">
        <v>2070</v>
      </c>
    </row>
    <row r="80" spans="1:25" ht="16.5" customHeight="1">
      <c r="A80" s="3080"/>
      <c r="B80" s="3082"/>
      <c r="C80" s="3072"/>
      <c r="D80" s="3085"/>
      <c r="E80" s="1494" t="s">
        <v>2071</v>
      </c>
      <c r="F80" s="1480"/>
      <c r="G80" s="1510" t="s">
        <v>2067</v>
      </c>
      <c r="H80" s="1494">
        <v>0</v>
      </c>
      <c r="I80" s="1510" t="s">
        <v>2072</v>
      </c>
      <c r="J80" s="1510" t="s">
        <v>2073</v>
      </c>
      <c r="K80" s="1507">
        <v>5</v>
      </c>
      <c r="L80" s="1505">
        <v>1</v>
      </c>
      <c r="M80" s="1506">
        <v>0</v>
      </c>
      <c r="N80" s="1505">
        <v>0</v>
      </c>
      <c r="O80" s="3093"/>
      <c r="P80" s="1529">
        <v>124435440</v>
      </c>
      <c r="Q80" s="1507">
        <v>334435440</v>
      </c>
      <c r="R80" s="1507">
        <v>0</v>
      </c>
      <c r="S80" s="1507">
        <v>0</v>
      </c>
      <c r="T80" s="1505">
        <f>IF(Q80=0,0,R80/Q80)</f>
        <v>0</v>
      </c>
      <c r="U80" s="1505">
        <f>IF(R80=0,0,S80/R80)</f>
        <v>0</v>
      </c>
      <c r="V80" s="1532"/>
      <c r="W80" s="1532"/>
      <c r="X80" s="1511"/>
      <c r="Y80" s="3080"/>
    </row>
    <row r="81" spans="1:25" ht="121.5" customHeight="1">
      <c r="A81" s="1480"/>
      <c r="B81" s="1542">
        <v>52020010002</v>
      </c>
      <c r="C81" s="1542" t="s">
        <v>103</v>
      </c>
      <c r="D81" s="1528" t="s">
        <v>2074</v>
      </c>
      <c r="E81" s="1482"/>
      <c r="F81" s="1492"/>
      <c r="G81" s="1481"/>
      <c r="H81" s="1542">
        <f>H83</f>
        <v>0</v>
      </c>
      <c r="I81" s="1523"/>
      <c r="J81" s="1523"/>
      <c r="K81" s="1524"/>
      <c r="L81" s="1560"/>
      <c r="M81" s="1524"/>
      <c r="N81" s="1519"/>
      <c r="O81" s="1525"/>
      <c r="P81" s="1529"/>
      <c r="Q81" s="1518"/>
      <c r="R81" s="1518"/>
      <c r="S81" s="1518"/>
      <c r="T81" s="1519"/>
      <c r="U81" s="1519"/>
      <c r="V81" s="1482"/>
      <c r="W81" s="1482"/>
      <c r="X81" s="1527"/>
      <c r="Y81" s="1561"/>
    </row>
    <row r="82" spans="1:25" ht="40.5" customHeight="1">
      <c r="A82" s="1480"/>
      <c r="B82" s="1480"/>
      <c r="C82" s="1480"/>
      <c r="D82" s="1523"/>
      <c r="E82" s="1494" t="s">
        <v>2075</v>
      </c>
      <c r="F82" s="1480"/>
      <c r="G82" s="1481"/>
      <c r="H82" s="1482"/>
      <c r="I82" s="1523"/>
      <c r="J82" s="1523"/>
      <c r="K82" s="1507">
        <v>18</v>
      </c>
      <c r="L82" s="1505">
        <f>+L83+L84</f>
        <v>1</v>
      </c>
      <c r="M82" s="1524"/>
      <c r="N82" s="1505">
        <f>N83+N84</f>
        <v>0.15</v>
      </c>
      <c r="O82" s="3091">
        <f>IF(Q82&gt;0,N82,"na")</f>
        <v>0.15</v>
      </c>
      <c r="P82" s="1529">
        <f>P83+P84</f>
        <v>1000000000</v>
      </c>
      <c r="Q82" s="1529">
        <f>Q83+Q84</f>
        <v>10949221894</v>
      </c>
      <c r="R82" s="1529">
        <f t="shared" ref="R82:S82" si="33">R83+R84</f>
        <v>338037143</v>
      </c>
      <c r="S82" s="1529">
        <f t="shared" si="33"/>
        <v>0</v>
      </c>
      <c r="T82" s="1505">
        <f>IF(Q82=0,0,R82/Q82)</f>
        <v>3.0873165807813154E-2</v>
      </c>
      <c r="U82" s="1505">
        <f t="shared" ref="U82" si="34">IF(R82=0,0,S82/R82)</f>
        <v>0</v>
      </c>
      <c r="V82" s="1482"/>
      <c r="W82" s="1482"/>
      <c r="X82" s="1527"/>
      <c r="Y82" s="3079" t="s">
        <v>2070</v>
      </c>
    </row>
    <row r="83" spans="1:25" ht="67.5" customHeight="1">
      <c r="A83" s="1534">
        <v>4146</v>
      </c>
      <c r="B83" s="3097"/>
      <c r="C83" s="3070" t="s">
        <v>109</v>
      </c>
      <c r="D83" s="3079" t="s">
        <v>2076</v>
      </c>
      <c r="E83" s="1494" t="s">
        <v>2077</v>
      </c>
      <c r="F83" s="1480"/>
      <c r="G83" s="1510" t="s">
        <v>2074</v>
      </c>
      <c r="H83" s="1494">
        <v>0</v>
      </c>
      <c r="I83" s="1510" t="s">
        <v>2078</v>
      </c>
      <c r="J83" s="1510" t="s">
        <v>2079</v>
      </c>
      <c r="K83" s="1529">
        <v>18</v>
      </c>
      <c r="L83" s="1557">
        <v>0.2</v>
      </c>
      <c r="M83" s="1506">
        <v>0</v>
      </c>
      <c r="N83" s="1505">
        <v>0.15</v>
      </c>
      <c r="O83" s="3092"/>
      <c r="P83" s="1529">
        <v>1000000000</v>
      </c>
      <c r="Q83" s="1507">
        <v>1873580549</v>
      </c>
      <c r="R83" s="1507">
        <v>338037143</v>
      </c>
      <c r="S83" s="1507">
        <v>0</v>
      </c>
      <c r="T83" s="1505">
        <f>IF(Q83=0,0,R83/Q83)</f>
        <v>0.18042306383914108</v>
      </c>
      <c r="U83" s="1505">
        <f>IF(R83=0,0,S83/R83)</f>
        <v>0</v>
      </c>
      <c r="V83" s="1532">
        <v>45329</v>
      </c>
      <c r="W83" s="1532">
        <v>45657</v>
      </c>
      <c r="X83" s="1511" t="s">
        <v>5156</v>
      </c>
      <c r="Y83" s="3089"/>
    </row>
    <row r="84" spans="1:25" ht="25.5" customHeight="1">
      <c r="A84" s="1534"/>
      <c r="B84" s="3098"/>
      <c r="C84" s="3072"/>
      <c r="D84" s="3080"/>
      <c r="E84" s="1494" t="s">
        <v>5157</v>
      </c>
      <c r="F84" s="1480"/>
      <c r="G84" s="1510"/>
      <c r="H84" s="1494"/>
      <c r="I84" s="1510"/>
      <c r="J84" s="1510" t="s">
        <v>5158</v>
      </c>
      <c r="K84" s="1529">
        <v>18</v>
      </c>
      <c r="L84" s="1557">
        <v>0.8</v>
      </c>
      <c r="M84" s="1506">
        <v>0</v>
      </c>
      <c r="N84" s="1505">
        <v>0</v>
      </c>
      <c r="O84" s="3093"/>
      <c r="P84" s="1529">
        <v>0</v>
      </c>
      <c r="Q84" s="1507">
        <v>9075641345</v>
      </c>
      <c r="R84" s="1507">
        <v>0</v>
      </c>
      <c r="S84" s="1507">
        <v>0</v>
      </c>
      <c r="T84" s="1505">
        <f>IF(Q84=0,0,R84/Q84)</f>
        <v>0</v>
      </c>
      <c r="U84" s="1505">
        <f>IF(R84=0,0,S84/R84)</f>
        <v>0</v>
      </c>
      <c r="V84" s="1532"/>
      <c r="W84" s="1532"/>
      <c r="X84" s="1511"/>
      <c r="Y84" s="3080"/>
    </row>
    <row r="85" spans="1:25" ht="16.5" customHeight="1">
      <c r="A85" s="1492"/>
      <c r="B85" s="1542">
        <v>52020010003</v>
      </c>
      <c r="C85" s="1542" t="s">
        <v>103</v>
      </c>
      <c r="D85" s="1528" t="s">
        <v>2080</v>
      </c>
      <c r="E85" s="1494"/>
      <c r="F85" s="1545"/>
      <c r="G85" s="1493"/>
      <c r="H85" s="1545">
        <f>H87</f>
        <v>8423</v>
      </c>
      <c r="I85" s="1510"/>
      <c r="J85" s="1493"/>
      <c r="K85" s="1518"/>
      <c r="L85" s="1519"/>
      <c r="M85" s="1518"/>
      <c r="N85" s="1519"/>
      <c r="O85" s="1530"/>
      <c r="P85" s="1518"/>
      <c r="Q85" s="1518">
        <f>69201189431-Q86</f>
        <v>555163413</v>
      </c>
      <c r="R85" s="1518"/>
      <c r="S85" s="1518"/>
      <c r="T85" s="1531"/>
      <c r="U85" s="1531"/>
      <c r="V85" s="1492"/>
      <c r="W85" s="1492"/>
      <c r="X85" s="1511"/>
      <c r="Y85" s="1502"/>
    </row>
    <row r="86" spans="1:25" ht="16.5" customHeight="1">
      <c r="A86" s="3062">
        <v>4146</v>
      </c>
      <c r="B86" s="3062"/>
      <c r="C86" s="3062" t="s">
        <v>109</v>
      </c>
      <c r="D86" s="3073" t="s">
        <v>2081</v>
      </c>
      <c r="E86" s="1494" t="s">
        <v>2082</v>
      </c>
      <c r="F86" s="1492"/>
      <c r="G86" s="1493"/>
      <c r="H86" s="1492"/>
      <c r="I86" s="1510"/>
      <c r="J86" s="1493"/>
      <c r="K86" s="1507">
        <v>10161</v>
      </c>
      <c r="L86" s="1505">
        <v>1</v>
      </c>
      <c r="M86" s="1507"/>
      <c r="N86" s="1505">
        <f>+N87+N88+N89</f>
        <v>0.33999999999999997</v>
      </c>
      <c r="O86" s="3074">
        <f>IF(Q86&gt;0,N86,"na")</f>
        <v>0.33999999999999997</v>
      </c>
      <c r="P86" s="1507">
        <f>+P87+P88+P89</f>
        <v>42287696805</v>
      </c>
      <c r="Q86" s="1507">
        <f>+Q87+Q88+Q89</f>
        <v>68646026018</v>
      </c>
      <c r="R86" s="1507">
        <f t="shared" ref="R86:S86" si="35">+R87+R88+R89</f>
        <v>38568949589</v>
      </c>
      <c r="S86" s="1507">
        <f t="shared" si="35"/>
        <v>5110028037</v>
      </c>
      <c r="T86" s="1531">
        <f>IF(Q86=0,0,R86/Q86)</f>
        <v>0.56185262026510685</v>
      </c>
      <c r="U86" s="1531">
        <f>IF(R86=0,0,S86/R86)</f>
        <v>0.13249072353418195</v>
      </c>
      <c r="V86" s="1532"/>
      <c r="W86" s="1532"/>
      <c r="X86" s="1511"/>
      <c r="Y86" s="3068" t="s">
        <v>2070</v>
      </c>
    </row>
    <row r="87" spans="1:25" ht="81" customHeight="1">
      <c r="A87" s="3062"/>
      <c r="B87" s="3062"/>
      <c r="C87" s="3062"/>
      <c r="D87" s="3066"/>
      <c r="E87" s="1494" t="s">
        <v>2083</v>
      </c>
      <c r="F87" s="1492"/>
      <c r="G87" s="1510" t="s">
        <v>2080</v>
      </c>
      <c r="H87" s="1545">
        <f>+M87</f>
        <v>8423</v>
      </c>
      <c r="I87" s="1503" t="s">
        <v>2084</v>
      </c>
      <c r="J87" s="1510" t="s">
        <v>2085</v>
      </c>
      <c r="K87" s="1507">
        <v>10161</v>
      </c>
      <c r="L87" s="1505">
        <v>0.5</v>
      </c>
      <c r="M87" s="1506">
        <v>8423</v>
      </c>
      <c r="N87" s="1505">
        <v>0.25</v>
      </c>
      <c r="O87" s="3062"/>
      <c r="P87" s="1507">
        <v>38895382925</v>
      </c>
      <c r="Q87" s="1563">
        <v>63902629997</v>
      </c>
      <c r="R87" s="1563">
        <v>35981344089</v>
      </c>
      <c r="S87" s="1563">
        <v>3927997537</v>
      </c>
      <c r="T87" s="1531">
        <f t="shared" ref="T87:U89" si="36">IF(Q87=0,0,R87/Q87)</f>
        <v>0.56306515225882248</v>
      </c>
      <c r="U87" s="1531">
        <f>IF(R87=0,0,S87/R87)</f>
        <v>0.10916761550886155</v>
      </c>
      <c r="V87" s="1532">
        <v>45315</v>
      </c>
      <c r="W87" s="1532">
        <v>45657</v>
      </c>
      <c r="X87" s="1549" t="s">
        <v>5159</v>
      </c>
      <c r="Y87" s="3069"/>
    </row>
    <row r="88" spans="1:25" ht="25.5" customHeight="1">
      <c r="A88" s="3062"/>
      <c r="B88" s="3062"/>
      <c r="C88" s="3062"/>
      <c r="D88" s="3066"/>
      <c r="E88" s="1494" t="s">
        <v>2086</v>
      </c>
      <c r="F88" s="1492"/>
      <c r="G88" s="1510"/>
      <c r="H88" s="1545"/>
      <c r="I88" s="1503" t="s">
        <v>2087</v>
      </c>
      <c r="J88" s="1510" t="s">
        <v>2088</v>
      </c>
      <c r="K88" s="1507">
        <v>18</v>
      </c>
      <c r="L88" s="1505">
        <v>0.3</v>
      </c>
      <c r="M88" s="1506">
        <v>0</v>
      </c>
      <c r="N88" s="1505">
        <v>0</v>
      </c>
      <c r="O88" s="3062"/>
      <c r="P88" s="1507">
        <v>428000000</v>
      </c>
      <c r="Q88" s="1563">
        <v>428000000</v>
      </c>
      <c r="R88" s="1563">
        <v>0</v>
      </c>
      <c r="S88" s="1563">
        <v>0</v>
      </c>
      <c r="T88" s="1531">
        <f>IF(Q88=0,0,R88/Q88)</f>
        <v>0</v>
      </c>
      <c r="U88" s="1531">
        <f>IF(R88=0,0,S88/R88)</f>
        <v>0</v>
      </c>
      <c r="V88" s="1532"/>
      <c r="W88" s="1532"/>
      <c r="X88" s="1549"/>
      <c r="Y88" s="3069"/>
    </row>
    <row r="89" spans="1:25" ht="16.5" customHeight="1">
      <c r="A89" s="3062"/>
      <c r="B89" s="3062"/>
      <c r="C89" s="3062"/>
      <c r="D89" s="3066"/>
      <c r="E89" s="1494" t="s">
        <v>2089</v>
      </c>
      <c r="F89" s="1492"/>
      <c r="G89" s="1510"/>
      <c r="H89" s="1492"/>
      <c r="I89" s="1503" t="s">
        <v>2090</v>
      </c>
      <c r="J89" s="1510" t="s">
        <v>2091</v>
      </c>
      <c r="K89" s="1547">
        <v>1492</v>
      </c>
      <c r="L89" s="1548">
        <v>0.2</v>
      </c>
      <c r="M89" s="1506">
        <f>48+395</f>
        <v>443</v>
      </c>
      <c r="N89" s="1505">
        <v>0.09</v>
      </c>
      <c r="O89" s="3062"/>
      <c r="P89" s="1507">
        <v>2964313880</v>
      </c>
      <c r="Q89" s="1507">
        <v>4315396021</v>
      </c>
      <c r="R89" s="1507">
        <v>2587605500</v>
      </c>
      <c r="S89" s="1507">
        <v>1182030500</v>
      </c>
      <c r="T89" s="1531">
        <f t="shared" si="36"/>
        <v>0.59962179308873209</v>
      </c>
      <c r="U89" s="1531">
        <f t="shared" si="36"/>
        <v>0.4568047563664554</v>
      </c>
      <c r="V89" s="1532">
        <v>45315</v>
      </c>
      <c r="W89" s="1532">
        <v>45657</v>
      </c>
      <c r="X89" s="1549" t="s">
        <v>5160</v>
      </c>
      <c r="Y89" s="3069"/>
    </row>
    <row r="90" spans="1:25" ht="121.5" customHeight="1">
      <c r="A90" s="1492"/>
      <c r="B90" s="1492">
        <v>52020010004</v>
      </c>
      <c r="C90" s="1492" t="s">
        <v>103</v>
      </c>
      <c r="D90" s="1528" t="s">
        <v>2092</v>
      </c>
      <c r="E90" s="1494"/>
      <c r="F90" s="1564"/>
      <c r="G90" s="1510"/>
      <c r="H90" s="1492">
        <f>H92</f>
        <v>0</v>
      </c>
      <c r="I90" s="1503"/>
      <c r="J90" s="1510"/>
      <c r="K90" s="1547"/>
      <c r="L90" s="1548"/>
      <c r="M90" s="1507"/>
      <c r="N90" s="1505"/>
      <c r="O90" s="1492"/>
      <c r="P90" s="1507"/>
      <c r="Q90" s="1507"/>
      <c r="R90" s="1507"/>
      <c r="S90" s="1507"/>
      <c r="T90" s="1531"/>
      <c r="U90" s="1531"/>
      <c r="V90" s="1532"/>
      <c r="W90" s="1532"/>
      <c r="X90" s="1549"/>
      <c r="Y90" s="1512"/>
    </row>
    <row r="91" spans="1:25" ht="33" customHeight="1">
      <c r="A91" s="3070">
        <v>4146</v>
      </c>
      <c r="B91" s="3070"/>
      <c r="C91" s="3070" t="s">
        <v>109</v>
      </c>
      <c r="D91" s="3083" t="s">
        <v>2093</v>
      </c>
      <c r="E91" s="1494" t="s">
        <v>2094</v>
      </c>
      <c r="F91" s="1492"/>
      <c r="G91" s="1510"/>
      <c r="H91" s="1492"/>
      <c r="I91" s="1503"/>
      <c r="J91" s="1510"/>
      <c r="K91" s="1547">
        <v>1</v>
      </c>
      <c r="L91" s="1548">
        <v>1</v>
      </c>
      <c r="M91" s="1507"/>
      <c r="N91" s="1505">
        <f>N92+N93</f>
        <v>0</v>
      </c>
      <c r="O91" s="3091">
        <f>IF(Q91&gt;0,N91,"na")</f>
        <v>0</v>
      </c>
      <c r="P91" s="1507">
        <f>P92+P93</f>
        <v>214232320</v>
      </c>
      <c r="Q91" s="1507">
        <f>Q92+Q93</f>
        <v>314232320</v>
      </c>
      <c r="R91" s="1507">
        <f t="shared" ref="R91:S91" si="37">R92+R93</f>
        <v>0</v>
      </c>
      <c r="S91" s="1507">
        <f t="shared" si="37"/>
        <v>0</v>
      </c>
      <c r="T91" s="1531">
        <f>IF(Q91=0,0,R91/Q91)</f>
        <v>0</v>
      </c>
      <c r="U91" s="1531">
        <f t="shared" ref="U91" si="38">IF(R91=0,0,S91/R91)</f>
        <v>0</v>
      </c>
      <c r="V91" s="1532"/>
      <c r="W91" s="1532"/>
      <c r="X91" s="1549"/>
      <c r="Y91" s="3079" t="s">
        <v>2070</v>
      </c>
    </row>
    <row r="92" spans="1:25" ht="25.5" customHeight="1">
      <c r="A92" s="3071"/>
      <c r="B92" s="3071"/>
      <c r="C92" s="3071"/>
      <c r="D92" s="3084"/>
      <c r="E92" s="1494" t="s">
        <v>2095</v>
      </c>
      <c r="F92" s="1492"/>
      <c r="G92" s="1510" t="s">
        <v>2092</v>
      </c>
      <c r="H92" s="1492">
        <v>0</v>
      </c>
      <c r="I92" s="1510" t="s">
        <v>2096</v>
      </c>
      <c r="J92" s="1510" t="s">
        <v>1394</v>
      </c>
      <c r="K92" s="1547">
        <v>1</v>
      </c>
      <c r="L92" s="1548">
        <v>0.6</v>
      </c>
      <c r="M92" s="1506">
        <v>0</v>
      </c>
      <c r="N92" s="1505">
        <v>0</v>
      </c>
      <c r="O92" s="3092"/>
      <c r="P92" s="1507">
        <v>114232320</v>
      </c>
      <c r="Q92" s="1507">
        <v>114232320</v>
      </c>
      <c r="R92" s="1507">
        <v>0</v>
      </c>
      <c r="S92" s="1507">
        <v>0</v>
      </c>
      <c r="T92" s="1531">
        <f t="shared" ref="T92:U93" si="39">IF(Q92=0,0,R92/Q92)</f>
        <v>0</v>
      </c>
      <c r="U92" s="1531">
        <f>IF(R92=0,0,S92/R92)</f>
        <v>0</v>
      </c>
      <c r="V92" s="1532"/>
      <c r="W92" s="1532"/>
      <c r="X92" s="1549"/>
      <c r="Y92" s="3089"/>
    </row>
    <row r="93" spans="1:25" ht="16.5" customHeight="1">
      <c r="A93" s="3072"/>
      <c r="B93" s="3072"/>
      <c r="C93" s="3072"/>
      <c r="D93" s="3085"/>
      <c r="E93" s="1494" t="s">
        <v>2097</v>
      </c>
      <c r="F93" s="1492"/>
      <c r="G93" s="1510"/>
      <c r="H93" s="1492"/>
      <c r="I93" s="1510" t="s">
        <v>2098</v>
      </c>
      <c r="J93" s="1510" t="s">
        <v>1189</v>
      </c>
      <c r="K93" s="1547">
        <v>18</v>
      </c>
      <c r="L93" s="1548">
        <v>0.4</v>
      </c>
      <c r="M93" s="1506">
        <v>0</v>
      </c>
      <c r="N93" s="1505">
        <v>0</v>
      </c>
      <c r="O93" s="3093"/>
      <c r="P93" s="1507">
        <v>100000000</v>
      </c>
      <c r="Q93" s="1507">
        <v>200000000</v>
      </c>
      <c r="R93" s="1507">
        <v>0</v>
      </c>
      <c r="S93" s="1507">
        <v>0</v>
      </c>
      <c r="T93" s="1531">
        <f t="shared" si="39"/>
        <v>0</v>
      </c>
      <c r="U93" s="1531">
        <f t="shared" si="39"/>
        <v>0</v>
      </c>
      <c r="V93" s="1532"/>
      <c r="W93" s="1532"/>
      <c r="X93" s="1549"/>
      <c r="Y93" s="3080"/>
    </row>
    <row r="94" spans="1:25" ht="94.5" customHeight="1">
      <c r="A94" s="1540"/>
      <c r="B94" s="1492">
        <v>52020010005</v>
      </c>
      <c r="C94" s="1492" t="s">
        <v>103</v>
      </c>
      <c r="D94" s="1528" t="s">
        <v>2099</v>
      </c>
      <c r="E94" s="1494"/>
      <c r="F94" s="1543"/>
      <c r="G94" s="1510"/>
      <c r="H94" s="1565">
        <f>H96</f>
        <v>0</v>
      </c>
      <c r="I94" s="1510"/>
      <c r="J94" s="1510"/>
      <c r="K94" s="1547"/>
      <c r="L94" s="1548"/>
      <c r="M94" s="1507"/>
      <c r="N94" s="1505"/>
      <c r="O94" s="1492"/>
      <c r="P94" s="1507"/>
      <c r="Q94" s="1507"/>
      <c r="R94" s="1507"/>
      <c r="S94" s="1507"/>
      <c r="T94" s="1531"/>
      <c r="U94" s="1531"/>
      <c r="V94" s="1532"/>
      <c r="W94" s="1532"/>
      <c r="X94" s="1549"/>
      <c r="Y94" s="1494"/>
    </row>
    <row r="95" spans="1:25" ht="54" customHeight="1">
      <c r="A95" s="3070">
        <v>4146</v>
      </c>
      <c r="B95" s="3070"/>
      <c r="C95" s="3070" t="s">
        <v>109</v>
      </c>
      <c r="D95" s="3083" t="s">
        <v>2100</v>
      </c>
      <c r="E95" s="1494" t="s">
        <v>2101</v>
      </c>
      <c r="F95" s="1492"/>
      <c r="G95" s="1510"/>
      <c r="H95" s="1492"/>
      <c r="I95" s="1510"/>
      <c r="J95" s="1510"/>
      <c r="K95" s="1566">
        <v>1</v>
      </c>
      <c r="L95" s="1548">
        <v>1</v>
      </c>
      <c r="M95" s="1507"/>
      <c r="N95" s="1505">
        <f>N96</f>
        <v>0</v>
      </c>
      <c r="O95" s="3091">
        <f>IF(Q95&gt;0,N95,"na")</f>
        <v>0</v>
      </c>
      <c r="P95" s="1507">
        <f>+P96</f>
        <v>218288160</v>
      </c>
      <c r="Q95" s="1507">
        <f>+Q96</f>
        <v>478288160</v>
      </c>
      <c r="R95" s="1507">
        <f t="shared" ref="R95:S95" si="40">+R96</f>
        <v>36371000</v>
      </c>
      <c r="S95" s="1507">
        <f t="shared" si="40"/>
        <v>0</v>
      </c>
      <c r="T95" s="1531">
        <f>IF(Q95=0,0,R95/Q95)</f>
        <v>7.6044115329971795E-2</v>
      </c>
      <c r="U95" s="1531">
        <f t="shared" ref="U95" si="41">IF(R95=0,0,S95/R95)</f>
        <v>0</v>
      </c>
      <c r="V95" s="1532"/>
      <c r="W95" s="1532"/>
      <c r="X95" s="1549"/>
      <c r="Y95" s="3079" t="s">
        <v>2070</v>
      </c>
    </row>
    <row r="96" spans="1:25" ht="25.5" customHeight="1">
      <c r="A96" s="3072"/>
      <c r="B96" s="3072"/>
      <c r="C96" s="3072"/>
      <c r="D96" s="3085"/>
      <c r="E96" s="1494" t="s">
        <v>2102</v>
      </c>
      <c r="F96" s="1492"/>
      <c r="G96" s="1510" t="s">
        <v>2099</v>
      </c>
      <c r="H96" s="1565">
        <v>0</v>
      </c>
      <c r="I96" s="1510" t="s">
        <v>2103</v>
      </c>
      <c r="J96" s="1510" t="s">
        <v>2104</v>
      </c>
      <c r="K96" s="1566">
        <v>1</v>
      </c>
      <c r="L96" s="1548">
        <v>1</v>
      </c>
      <c r="M96" s="1567">
        <v>0</v>
      </c>
      <c r="N96" s="1505">
        <v>0</v>
      </c>
      <c r="O96" s="3093"/>
      <c r="P96" s="1507">
        <v>218288160</v>
      </c>
      <c r="Q96" s="1507">
        <v>478288160</v>
      </c>
      <c r="R96" s="1507">
        <v>36371000</v>
      </c>
      <c r="S96" s="1507">
        <v>0</v>
      </c>
      <c r="T96" s="1531">
        <f t="shared" ref="T96" si="42">IF(Q96=0,0,R96/Q96)</f>
        <v>7.6044115329971795E-2</v>
      </c>
      <c r="U96" s="1531">
        <f>IF(R96=0,0,S96/R96)</f>
        <v>0</v>
      </c>
      <c r="V96" s="1532">
        <v>45458</v>
      </c>
      <c r="W96" s="1532">
        <v>45657</v>
      </c>
      <c r="X96" s="1549" t="s">
        <v>5161</v>
      </c>
      <c r="Y96" s="3080"/>
    </row>
    <row r="97" spans="1:25" ht="16.5" customHeight="1">
      <c r="A97" s="1480"/>
      <c r="B97" s="1480">
        <v>5202002</v>
      </c>
      <c r="C97" s="1568" t="s">
        <v>102</v>
      </c>
      <c r="D97" s="1523" t="s">
        <v>1525</v>
      </c>
      <c r="E97" s="1482"/>
      <c r="F97" s="1480"/>
      <c r="G97" s="1481"/>
      <c r="H97" s="1482"/>
      <c r="I97" s="1523"/>
      <c r="J97" s="1481"/>
      <c r="K97" s="1569"/>
      <c r="L97" s="1519"/>
      <c r="M97" s="1524"/>
      <c r="N97" s="1519"/>
      <c r="O97" s="1525"/>
      <c r="P97" s="1518"/>
      <c r="Q97" s="1518"/>
      <c r="R97" s="1518"/>
      <c r="S97" s="1518"/>
      <c r="T97" s="1519"/>
      <c r="U97" s="1519"/>
      <c r="V97" s="1480"/>
      <c r="W97" s="1480"/>
      <c r="X97" s="1527"/>
      <c r="Y97" s="1488"/>
    </row>
    <row r="98" spans="1:25" ht="135" customHeight="1">
      <c r="A98" s="1480"/>
      <c r="B98" s="1492">
        <v>52020020003</v>
      </c>
      <c r="C98" s="1542" t="s">
        <v>103</v>
      </c>
      <c r="D98" s="1528" t="s">
        <v>2105</v>
      </c>
      <c r="E98" s="1482"/>
      <c r="F98" s="1545"/>
      <c r="G98" s="1481"/>
      <c r="H98" s="1545">
        <f>H100</f>
        <v>100</v>
      </c>
      <c r="I98" s="1523"/>
      <c r="J98" s="1481"/>
      <c r="K98" s="1569"/>
      <c r="L98" s="1519"/>
      <c r="M98" s="1524"/>
      <c r="N98" s="1519"/>
      <c r="O98" s="1525"/>
      <c r="P98" s="1518"/>
      <c r="Q98" s="1518"/>
      <c r="R98" s="1518"/>
      <c r="S98" s="1518"/>
      <c r="T98" s="1519"/>
      <c r="U98" s="1519"/>
      <c r="V98" s="1480"/>
      <c r="W98" s="1480"/>
      <c r="X98" s="1527"/>
      <c r="Y98" s="1488"/>
    </row>
    <row r="99" spans="1:25" ht="16.5" customHeight="1">
      <c r="A99" s="3062">
        <v>4146</v>
      </c>
      <c r="B99" s="3062"/>
      <c r="C99" s="3075" t="s">
        <v>109</v>
      </c>
      <c r="D99" s="3073" t="s">
        <v>2106</v>
      </c>
      <c r="E99" s="1535" t="s">
        <v>2107</v>
      </c>
      <c r="F99" s="1480"/>
      <c r="G99" s="1510"/>
      <c r="H99" s="1492"/>
      <c r="I99" s="1510"/>
      <c r="J99" s="1510"/>
      <c r="K99" s="1507">
        <v>100</v>
      </c>
      <c r="L99" s="1505">
        <v>1</v>
      </c>
      <c r="M99" s="1507"/>
      <c r="N99" s="1505">
        <f>+N100+N101</f>
        <v>0.63</v>
      </c>
      <c r="O99" s="3105">
        <f>IF(Q99&gt;0,N99,"na")</f>
        <v>0.63</v>
      </c>
      <c r="P99" s="1507">
        <f>+P100+P101</f>
        <v>150000000</v>
      </c>
      <c r="Q99" s="1507">
        <f>+Q100+Q101</f>
        <v>150000000</v>
      </c>
      <c r="R99" s="1507">
        <f t="shared" ref="R99:S99" si="43">+R100+R101</f>
        <v>81644000</v>
      </c>
      <c r="S99" s="1507">
        <f t="shared" si="43"/>
        <v>81644000</v>
      </c>
      <c r="T99" s="1531">
        <f>IF(Q99=0,0,R99/Q99)</f>
        <v>0.5442933333333333</v>
      </c>
      <c r="U99" s="1531">
        <f>IF(R99=0,0,S99/R99)</f>
        <v>1</v>
      </c>
      <c r="V99" s="1480"/>
      <c r="W99" s="1480"/>
      <c r="X99" s="1527"/>
      <c r="Y99" s="3068" t="s">
        <v>2108</v>
      </c>
    </row>
    <row r="100" spans="1:25" ht="16.5" customHeight="1">
      <c r="A100" s="3062"/>
      <c r="B100" s="3062"/>
      <c r="C100" s="3075"/>
      <c r="D100" s="3073"/>
      <c r="E100" s="1535" t="s">
        <v>2109</v>
      </c>
      <c r="F100" s="1480"/>
      <c r="G100" s="1510" t="s">
        <v>2105</v>
      </c>
      <c r="H100" s="1492">
        <v>100</v>
      </c>
      <c r="I100" s="1510" t="s">
        <v>2110</v>
      </c>
      <c r="J100" s="1510" t="s">
        <v>2111</v>
      </c>
      <c r="K100" s="1507">
        <v>100</v>
      </c>
      <c r="L100" s="1505">
        <v>0.33</v>
      </c>
      <c r="M100" s="1506">
        <v>100</v>
      </c>
      <c r="N100" s="1505">
        <v>0.11</v>
      </c>
      <c r="O100" s="3105"/>
      <c r="P100" s="1507">
        <v>50941440</v>
      </c>
      <c r="Q100" s="1507">
        <v>50941440</v>
      </c>
      <c r="R100" s="1507">
        <v>31386000</v>
      </c>
      <c r="S100" s="1507">
        <v>31386000</v>
      </c>
      <c r="T100" s="1531">
        <f t="shared" ref="T100:U101" si="44">IF(Q100=0,0,R100/Q100)</f>
        <v>0.61611921453339369</v>
      </c>
      <c r="U100" s="1531">
        <f t="shared" si="44"/>
        <v>1</v>
      </c>
      <c r="V100" s="1532">
        <v>45314</v>
      </c>
      <c r="W100" s="1532">
        <v>45657</v>
      </c>
      <c r="X100" s="1511" t="s">
        <v>5162</v>
      </c>
      <c r="Y100" s="3068"/>
    </row>
    <row r="101" spans="1:25" ht="25.5" customHeight="1">
      <c r="A101" s="3062"/>
      <c r="B101" s="3062"/>
      <c r="C101" s="3075"/>
      <c r="D101" s="3073"/>
      <c r="E101" s="1535" t="s">
        <v>2112</v>
      </c>
      <c r="F101" s="1480"/>
      <c r="G101" s="1510"/>
      <c r="H101" s="1492"/>
      <c r="I101" s="1510" t="s">
        <v>2113</v>
      </c>
      <c r="J101" s="1510" t="s">
        <v>106</v>
      </c>
      <c r="K101" s="1507">
        <v>50</v>
      </c>
      <c r="L101" s="1505">
        <v>0.67</v>
      </c>
      <c r="M101" s="1506">
        <f>10+26</f>
        <v>36</v>
      </c>
      <c r="N101" s="1505">
        <v>0.52</v>
      </c>
      <c r="O101" s="3105"/>
      <c r="P101" s="1507">
        <v>99058560</v>
      </c>
      <c r="Q101" s="1507">
        <v>99058560</v>
      </c>
      <c r="R101" s="1507">
        <v>50258000</v>
      </c>
      <c r="S101" s="1507">
        <v>50258000</v>
      </c>
      <c r="T101" s="1531">
        <f t="shared" si="44"/>
        <v>0.50735645662525275</v>
      </c>
      <c r="U101" s="1531">
        <f t="shared" si="44"/>
        <v>1</v>
      </c>
      <c r="V101" s="1532">
        <v>45314</v>
      </c>
      <c r="W101" s="1532">
        <v>45657</v>
      </c>
      <c r="X101" s="1511" t="s">
        <v>5163</v>
      </c>
      <c r="Y101" s="3068"/>
    </row>
    <row r="102" spans="1:25" ht="16.5" customHeight="1">
      <c r="A102" s="1492"/>
      <c r="B102" s="1492">
        <v>52020020004</v>
      </c>
      <c r="C102" s="1542" t="s">
        <v>103</v>
      </c>
      <c r="D102" s="1528" t="s">
        <v>2114</v>
      </c>
      <c r="E102" s="1494"/>
      <c r="F102" s="1492"/>
      <c r="G102" s="1493"/>
      <c r="H102" s="1492">
        <f>H104</f>
        <v>147</v>
      </c>
      <c r="I102" s="1510"/>
      <c r="J102" s="1510"/>
      <c r="K102" s="1518"/>
      <c r="L102" s="1531"/>
      <c r="M102" s="1529"/>
      <c r="N102" s="1519"/>
      <c r="O102" s="1530"/>
      <c r="P102" s="1518"/>
      <c r="Q102" s="1518"/>
      <c r="R102" s="1518"/>
      <c r="S102" s="1518"/>
      <c r="T102" s="1531"/>
      <c r="U102" s="1531"/>
      <c r="V102" s="1536"/>
      <c r="W102" s="1536"/>
      <c r="X102" s="1511"/>
      <c r="Y102" s="1570"/>
    </row>
    <row r="103" spans="1:25" ht="162" customHeight="1">
      <c r="A103" s="3062">
        <v>4146</v>
      </c>
      <c r="B103" s="3062"/>
      <c r="C103" s="3062" t="s">
        <v>109</v>
      </c>
      <c r="D103" s="3073" t="s">
        <v>2115</v>
      </c>
      <c r="E103" s="1535" t="s">
        <v>2116</v>
      </c>
      <c r="F103" s="1492"/>
      <c r="G103" s="1493"/>
      <c r="H103" s="1492"/>
      <c r="I103" s="1510"/>
      <c r="J103" s="1510"/>
      <c r="K103" s="1507">
        <v>8</v>
      </c>
      <c r="L103" s="1505">
        <v>1</v>
      </c>
      <c r="M103" s="1507"/>
      <c r="N103" s="1505">
        <f>+N104+N105</f>
        <v>0.23</v>
      </c>
      <c r="O103" s="3074">
        <f>IF(Q103&gt;0,N103,"na")</f>
        <v>0.23</v>
      </c>
      <c r="P103" s="1507">
        <f>+P104+P105</f>
        <v>700000000</v>
      </c>
      <c r="Q103" s="1507">
        <f>+Q104+Q105</f>
        <v>2900000000</v>
      </c>
      <c r="R103" s="1507">
        <f t="shared" ref="R103:S103" si="45">+R104+R105</f>
        <v>629499360</v>
      </c>
      <c r="S103" s="1507">
        <f t="shared" si="45"/>
        <v>29358000</v>
      </c>
      <c r="T103" s="1531">
        <f t="shared" ref="T103:U105" si="46">IF(Q103=0,0,R103/Q103)</f>
        <v>0.2170687448275862</v>
      </c>
      <c r="U103" s="1531">
        <f t="shared" si="46"/>
        <v>4.6637060917742633E-2</v>
      </c>
      <c r="V103" s="1536"/>
      <c r="W103" s="1536"/>
      <c r="X103" s="1511"/>
      <c r="Y103" s="3068" t="s">
        <v>1964</v>
      </c>
    </row>
    <row r="104" spans="1:25" ht="162" customHeight="1">
      <c r="A104" s="3062"/>
      <c r="B104" s="3062"/>
      <c r="C104" s="3062"/>
      <c r="D104" s="3066"/>
      <c r="E104" s="1535" t="s">
        <v>2117</v>
      </c>
      <c r="F104" s="1492"/>
      <c r="G104" s="1510" t="s">
        <v>2114</v>
      </c>
      <c r="H104" s="1492">
        <v>147</v>
      </c>
      <c r="I104" s="1510" t="s">
        <v>5164</v>
      </c>
      <c r="J104" s="1510" t="s">
        <v>2118</v>
      </c>
      <c r="K104" s="1507">
        <v>670</v>
      </c>
      <c r="L104" s="1505">
        <v>0.98</v>
      </c>
      <c r="M104" s="1506">
        <v>147</v>
      </c>
      <c r="N104" s="1505">
        <v>0.2</v>
      </c>
      <c r="O104" s="3062"/>
      <c r="P104" s="1507">
        <v>678338945</v>
      </c>
      <c r="Q104" s="1507">
        <v>2847632945</v>
      </c>
      <c r="R104" s="1507">
        <v>607838305</v>
      </c>
      <c r="S104" s="1507">
        <v>29358000</v>
      </c>
      <c r="T104" s="1531">
        <f t="shared" si="46"/>
        <v>0.21345388143063501</v>
      </c>
      <c r="U104" s="1531">
        <f>IF(R104=0,0,S104/R104)</f>
        <v>4.8299029130781747E-2</v>
      </c>
      <c r="V104" s="1532">
        <v>45329</v>
      </c>
      <c r="W104" s="1532">
        <v>45657</v>
      </c>
      <c r="X104" s="1511" t="s">
        <v>5165</v>
      </c>
      <c r="Y104" s="3069"/>
    </row>
    <row r="105" spans="1:25" ht="25.5" customHeight="1">
      <c r="A105" s="3062"/>
      <c r="B105" s="3062"/>
      <c r="C105" s="3062"/>
      <c r="D105" s="3066"/>
      <c r="E105" s="1535" t="s">
        <v>2119</v>
      </c>
      <c r="F105" s="1492"/>
      <c r="G105" s="1510"/>
      <c r="H105" s="1492"/>
      <c r="I105" s="1510" t="s">
        <v>2120</v>
      </c>
      <c r="J105" s="1510" t="s">
        <v>2121</v>
      </c>
      <c r="K105" s="1507">
        <v>2</v>
      </c>
      <c r="L105" s="1505">
        <v>0.03</v>
      </c>
      <c r="M105" s="1506">
        <v>2</v>
      </c>
      <c r="N105" s="1505">
        <v>0.03</v>
      </c>
      <c r="O105" s="3062"/>
      <c r="P105" s="1507">
        <v>21661055</v>
      </c>
      <c r="Q105" s="1507">
        <v>52367055</v>
      </c>
      <c r="R105" s="1507">
        <v>21661055</v>
      </c>
      <c r="S105" s="1507">
        <v>0</v>
      </c>
      <c r="T105" s="1531">
        <f t="shared" si="46"/>
        <v>0.41363897587901399</v>
      </c>
      <c r="U105" s="1531">
        <f t="shared" si="46"/>
        <v>0</v>
      </c>
      <c r="V105" s="1532">
        <v>45329</v>
      </c>
      <c r="W105" s="1532">
        <v>45657</v>
      </c>
      <c r="X105" s="1511" t="s">
        <v>5166</v>
      </c>
      <c r="Y105" s="3069"/>
    </row>
    <row r="106" spans="1:25" ht="16.5" customHeight="1">
      <c r="A106" s="1480"/>
      <c r="B106" s="1480">
        <v>5202003</v>
      </c>
      <c r="C106" s="1480" t="s">
        <v>102</v>
      </c>
      <c r="D106" s="1523" t="s">
        <v>1548</v>
      </c>
      <c r="E106" s="1482"/>
      <c r="F106" s="1480"/>
      <c r="G106" s="1481"/>
      <c r="H106" s="1480"/>
      <c r="I106" s="1523"/>
      <c r="J106" s="1481"/>
      <c r="K106" s="1569"/>
      <c r="L106" s="1571"/>
      <c r="M106" s="1524"/>
      <c r="N106" s="1519"/>
      <c r="O106" s="1525"/>
      <c r="P106" s="1518"/>
      <c r="Q106" s="1518"/>
      <c r="R106" s="1518"/>
      <c r="S106" s="1518"/>
      <c r="T106" s="1519"/>
      <c r="U106" s="1519"/>
      <c r="V106" s="1480"/>
      <c r="W106" s="1480"/>
      <c r="X106" s="1527"/>
      <c r="Y106" s="1572"/>
    </row>
    <row r="107" spans="1:25" ht="94.5" customHeight="1">
      <c r="A107" s="1492"/>
      <c r="B107" s="1542">
        <v>52020030001</v>
      </c>
      <c r="C107" s="1542" t="s">
        <v>103</v>
      </c>
      <c r="D107" s="1528" t="s">
        <v>2122</v>
      </c>
      <c r="E107" s="1494"/>
      <c r="F107" s="1492"/>
      <c r="G107" s="1493"/>
      <c r="H107" s="1492">
        <f>H109</f>
        <v>182</v>
      </c>
      <c r="I107" s="1510"/>
      <c r="J107" s="1493"/>
      <c r="K107" s="1518"/>
      <c r="L107" s="1519"/>
      <c r="M107" s="1529"/>
      <c r="N107" s="1519"/>
      <c r="O107" s="1530"/>
      <c r="P107" s="1518"/>
      <c r="Q107" s="1518"/>
      <c r="R107" s="1518"/>
      <c r="S107" s="1518"/>
      <c r="T107" s="1531"/>
      <c r="U107" s="1531"/>
      <c r="V107" s="1492"/>
      <c r="W107" s="1492"/>
      <c r="X107" s="1511"/>
      <c r="Y107" s="1502"/>
    </row>
    <row r="108" spans="1:25" ht="16.5" customHeight="1">
      <c r="A108" s="3062">
        <v>4146</v>
      </c>
      <c r="B108" s="3062"/>
      <c r="C108" s="3062" t="s">
        <v>109</v>
      </c>
      <c r="D108" s="3073" t="s">
        <v>2123</v>
      </c>
      <c r="E108" s="1494" t="s">
        <v>2124</v>
      </c>
      <c r="F108" s="1492"/>
      <c r="G108" s="1493"/>
      <c r="H108" s="1492"/>
      <c r="I108" s="1510"/>
      <c r="J108" s="1493"/>
      <c r="K108" s="1507">
        <v>1</v>
      </c>
      <c r="L108" s="1505">
        <v>1</v>
      </c>
      <c r="M108" s="1529"/>
      <c r="N108" s="1505">
        <f>+N109+N110</f>
        <v>0.42000000000000004</v>
      </c>
      <c r="O108" s="3074">
        <f>IF(Q108&gt;0,N108,"na")</f>
        <v>0.42000000000000004</v>
      </c>
      <c r="P108" s="1507">
        <f>+P109+P110</f>
        <v>1818752850</v>
      </c>
      <c r="Q108" s="1507">
        <f>+Q109+Q110</f>
        <v>1300000000</v>
      </c>
      <c r="R108" s="1507">
        <f t="shared" ref="R108:S108" si="47">+R109+R110</f>
        <v>537822000</v>
      </c>
      <c r="S108" s="1507">
        <f t="shared" si="47"/>
        <v>271206000</v>
      </c>
      <c r="T108" s="1531">
        <f t="shared" ref="T108:U110" si="48">IF(Q108=0,0,R108/Q108)</f>
        <v>0.41370923076923077</v>
      </c>
      <c r="U108" s="1531">
        <f t="shared" si="48"/>
        <v>0.50426721108470829</v>
      </c>
      <c r="V108" s="1532"/>
      <c r="W108" s="1532"/>
      <c r="X108" s="1511"/>
      <c r="Y108" s="3068" t="s">
        <v>2108</v>
      </c>
    </row>
    <row r="109" spans="1:25" ht="25.5" customHeight="1">
      <c r="A109" s="3062"/>
      <c r="B109" s="3062"/>
      <c r="C109" s="3062"/>
      <c r="D109" s="3066"/>
      <c r="E109" s="1494" t="s">
        <v>2125</v>
      </c>
      <c r="F109" s="1492"/>
      <c r="G109" s="1510" t="s">
        <v>2122</v>
      </c>
      <c r="H109" s="1492">
        <v>182</v>
      </c>
      <c r="I109" s="1510" t="s">
        <v>5167</v>
      </c>
      <c r="J109" s="1510" t="s">
        <v>2126</v>
      </c>
      <c r="K109" s="1507">
        <v>550</v>
      </c>
      <c r="L109" s="1505">
        <v>0.7</v>
      </c>
      <c r="M109" s="1506">
        <f>10+15+103+52+2</f>
        <v>182</v>
      </c>
      <c r="N109" s="1505">
        <v>0.23</v>
      </c>
      <c r="O109" s="3062"/>
      <c r="P109" s="1507">
        <v>830445890</v>
      </c>
      <c r="Q109" s="1507">
        <v>654733756</v>
      </c>
      <c r="R109" s="1507">
        <v>313265000</v>
      </c>
      <c r="S109" s="1507">
        <v>173612000</v>
      </c>
      <c r="T109" s="1531">
        <f t="shared" si="48"/>
        <v>0.47846166037603843</v>
      </c>
      <c r="U109" s="1531">
        <f t="shared" si="48"/>
        <v>0.55420171420362951</v>
      </c>
      <c r="V109" s="1532">
        <v>45314</v>
      </c>
      <c r="W109" s="1532">
        <v>45657</v>
      </c>
      <c r="X109" s="1511" t="s">
        <v>5168</v>
      </c>
      <c r="Y109" s="3069"/>
    </row>
    <row r="110" spans="1:25" ht="16.5" customHeight="1">
      <c r="A110" s="3062"/>
      <c r="B110" s="3062"/>
      <c r="C110" s="3062"/>
      <c r="D110" s="3066"/>
      <c r="E110" s="1494" t="s">
        <v>2127</v>
      </c>
      <c r="F110" s="1492"/>
      <c r="G110" s="1510"/>
      <c r="H110" s="1492"/>
      <c r="I110" s="1510" t="s">
        <v>2128</v>
      </c>
      <c r="J110" s="1510" t="s">
        <v>2121</v>
      </c>
      <c r="K110" s="1507">
        <v>8</v>
      </c>
      <c r="L110" s="1505">
        <v>0.3</v>
      </c>
      <c r="M110" s="1506">
        <f>2+1+1+1</f>
        <v>5</v>
      </c>
      <c r="N110" s="1505">
        <v>0.19</v>
      </c>
      <c r="O110" s="3062"/>
      <c r="P110" s="1507">
        <v>988306960</v>
      </c>
      <c r="Q110" s="1507">
        <v>645266244</v>
      </c>
      <c r="R110" s="1507">
        <v>224557000</v>
      </c>
      <c r="S110" s="1507">
        <v>97594000</v>
      </c>
      <c r="T110" s="1531">
        <f t="shared" si="48"/>
        <v>0.3480067368904548</v>
      </c>
      <c r="U110" s="1531">
        <f t="shared" si="48"/>
        <v>0.43460680361778969</v>
      </c>
      <c r="V110" s="1532">
        <v>45314</v>
      </c>
      <c r="W110" s="1532">
        <v>45657</v>
      </c>
      <c r="X110" s="1511" t="s">
        <v>5169</v>
      </c>
      <c r="Y110" s="3069"/>
    </row>
    <row r="111" spans="1:25" ht="108" customHeight="1">
      <c r="A111" s="1492"/>
      <c r="B111" s="1492">
        <v>52020030002</v>
      </c>
      <c r="C111" s="1492" t="s">
        <v>103</v>
      </c>
      <c r="D111" s="1528" t="s">
        <v>2129</v>
      </c>
      <c r="E111" s="1494"/>
      <c r="F111" s="1492"/>
      <c r="G111" s="1510"/>
      <c r="H111" s="1492">
        <f>H113</f>
        <v>0</v>
      </c>
      <c r="I111" s="1510"/>
      <c r="J111" s="1510"/>
      <c r="K111" s="1547"/>
      <c r="L111" s="1548"/>
      <c r="M111" s="1529"/>
      <c r="N111" s="1505"/>
      <c r="O111" s="1492"/>
      <c r="P111" s="1507"/>
      <c r="Q111" s="1507"/>
      <c r="R111" s="1507"/>
      <c r="S111" s="1507"/>
      <c r="T111" s="1531"/>
      <c r="U111" s="1531"/>
      <c r="V111" s="1532"/>
      <c r="W111" s="1532"/>
      <c r="X111" s="1511"/>
      <c r="Y111" s="1512"/>
    </row>
    <row r="112" spans="1:25" ht="108" customHeight="1">
      <c r="A112" s="3070">
        <v>4146</v>
      </c>
      <c r="B112" s="3070"/>
      <c r="C112" s="3070" t="s">
        <v>109</v>
      </c>
      <c r="D112" s="3083" t="s">
        <v>2130</v>
      </c>
      <c r="E112" s="1494" t="s">
        <v>2131</v>
      </c>
      <c r="F112" s="1492"/>
      <c r="G112" s="1510"/>
      <c r="H112" s="1492"/>
      <c r="I112" s="1510"/>
      <c r="J112" s="1510"/>
      <c r="K112" s="1547">
        <v>40</v>
      </c>
      <c r="L112" s="1548">
        <v>1</v>
      </c>
      <c r="M112" s="1529"/>
      <c r="N112" s="1505">
        <f>+N113</f>
        <v>0.06</v>
      </c>
      <c r="O112" s="3086">
        <f>IF(Q112&gt;0,N112,"na")</f>
        <v>0.06</v>
      </c>
      <c r="P112" s="1507">
        <f>+P113+P114</f>
        <v>437101550</v>
      </c>
      <c r="Q112" s="1507">
        <f>+Q113+Q114</f>
        <v>437101550</v>
      </c>
      <c r="R112" s="1507">
        <f t="shared" ref="R112:S112" si="49">+R113+R114</f>
        <v>17752000</v>
      </c>
      <c r="S112" s="1507">
        <f t="shared" si="49"/>
        <v>17752000</v>
      </c>
      <c r="T112" s="1531">
        <f t="shared" ref="T112:U114" si="50">IF(Q112=0,0,R112/Q112)</f>
        <v>4.0612987988717951E-2</v>
      </c>
      <c r="U112" s="1531">
        <f t="shared" si="50"/>
        <v>1</v>
      </c>
      <c r="V112" s="1532"/>
      <c r="W112" s="1532"/>
      <c r="X112" s="1511"/>
      <c r="Y112" s="3079" t="s">
        <v>2108</v>
      </c>
    </row>
    <row r="113" spans="1:25" ht="16.5" customHeight="1">
      <c r="A113" s="3071"/>
      <c r="B113" s="3071"/>
      <c r="C113" s="3071"/>
      <c r="D113" s="3084"/>
      <c r="E113" s="1494" t="s">
        <v>2132</v>
      </c>
      <c r="F113" s="1492"/>
      <c r="G113" s="1510" t="s">
        <v>2129</v>
      </c>
      <c r="H113" s="1492">
        <v>0</v>
      </c>
      <c r="I113" s="1510" t="s">
        <v>2133</v>
      </c>
      <c r="J113" s="1510" t="s">
        <v>2121</v>
      </c>
      <c r="K113" s="1547">
        <v>40</v>
      </c>
      <c r="L113" s="1548">
        <v>0.8</v>
      </c>
      <c r="M113" s="1506">
        <v>0</v>
      </c>
      <c r="N113" s="1505">
        <v>0.06</v>
      </c>
      <c r="O113" s="3087"/>
      <c r="P113" s="1507">
        <v>396441952</v>
      </c>
      <c r="Q113" s="1507">
        <v>396441952</v>
      </c>
      <c r="R113" s="1507">
        <v>17752000</v>
      </c>
      <c r="S113" s="1507">
        <v>17752000</v>
      </c>
      <c r="T113" s="1531">
        <f t="shared" si="50"/>
        <v>4.4778308426853874E-2</v>
      </c>
      <c r="U113" s="1531">
        <f t="shared" si="50"/>
        <v>1</v>
      </c>
      <c r="V113" s="1532">
        <v>45370</v>
      </c>
      <c r="W113" s="1532">
        <v>45657</v>
      </c>
      <c r="X113" s="1511" t="s">
        <v>5170</v>
      </c>
      <c r="Y113" s="3089"/>
    </row>
    <row r="114" spans="1:25" ht="25.5" customHeight="1">
      <c r="A114" s="3072"/>
      <c r="B114" s="3072"/>
      <c r="C114" s="3072"/>
      <c r="D114" s="3085"/>
      <c r="E114" s="1494" t="s">
        <v>2134</v>
      </c>
      <c r="F114" s="1492"/>
      <c r="G114" s="1510"/>
      <c r="H114" s="1492"/>
      <c r="I114" s="1510" t="s">
        <v>2135</v>
      </c>
      <c r="J114" s="1510" t="s">
        <v>2136</v>
      </c>
      <c r="K114" s="1547">
        <v>4</v>
      </c>
      <c r="L114" s="1548">
        <v>0.2</v>
      </c>
      <c r="M114" s="1506">
        <v>0</v>
      </c>
      <c r="N114" s="1505">
        <v>0</v>
      </c>
      <c r="O114" s="3088"/>
      <c r="P114" s="1507">
        <v>40659598</v>
      </c>
      <c r="Q114" s="1507">
        <v>40659598</v>
      </c>
      <c r="R114" s="1507">
        <v>0</v>
      </c>
      <c r="S114" s="1507">
        <v>0</v>
      </c>
      <c r="T114" s="1531">
        <f t="shared" si="50"/>
        <v>0</v>
      </c>
      <c r="U114" s="1531">
        <f t="shared" si="50"/>
        <v>0</v>
      </c>
      <c r="V114" s="1532"/>
      <c r="W114" s="1532"/>
      <c r="X114" s="1511"/>
      <c r="Y114" s="3080"/>
    </row>
    <row r="115" spans="1:25" ht="16.5" customHeight="1">
      <c r="A115" s="1492"/>
      <c r="B115" s="1492">
        <v>52020030003</v>
      </c>
      <c r="C115" s="1492" t="s">
        <v>103</v>
      </c>
      <c r="D115" s="1528" t="s">
        <v>2137</v>
      </c>
      <c r="E115" s="1494"/>
      <c r="F115" s="1492"/>
      <c r="G115" s="1510"/>
      <c r="H115" s="1492">
        <f>H117</f>
        <v>0</v>
      </c>
      <c r="I115" s="1510"/>
      <c r="J115" s="1510"/>
      <c r="K115" s="1547"/>
      <c r="L115" s="1548"/>
      <c r="M115" s="1529"/>
      <c r="N115" s="1505"/>
      <c r="O115" s="1492"/>
      <c r="P115" s="1507"/>
      <c r="Q115" s="1507"/>
      <c r="R115" s="1507"/>
      <c r="S115" s="1507"/>
      <c r="T115" s="1531"/>
      <c r="U115" s="1531"/>
      <c r="V115" s="1532"/>
      <c r="W115" s="1532"/>
      <c r="X115" s="1511"/>
      <c r="Y115" s="1512"/>
    </row>
    <row r="116" spans="1:25" ht="16.5" customHeight="1">
      <c r="A116" s="3062">
        <v>4146</v>
      </c>
      <c r="B116" s="3062"/>
      <c r="C116" s="3062" t="s">
        <v>109</v>
      </c>
      <c r="D116" s="3073" t="s">
        <v>2138</v>
      </c>
      <c r="E116" s="1494" t="s">
        <v>2139</v>
      </c>
      <c r="F116" s="1492"/>
      <c r="G116" s="1510"/>
      <c r="H116" s="1492"/>
      <c r="I116" s="1510"/>
      <c r="J116" s="1510"/>
      <c r="K116" s="1547">
        <v>2</v>
      </c>
      <c r="L116" s="1548">
        <v>1</v>
      </c>
      <c r="M116" s="1529"/>
      <c r="N116" s="1505">
        <f>+N117+N118</f>
        <v>0.05</v>
      </c>
      <c r="O116" s="3090">
        <f>IF(Q116&gt;0,N116,"na")</f>
        <v>0.05</v>
      </c>
      <c r="P116" s="1507">
        <f>+P117+P118</f>
        <v>544145600</v>
      </c>
      <c r="Q116" s="1507">
        <f>+Q117+Q118</f>
        <v>544145600</v>
      </c>
      <c r="R116" s="1507">
        <f t="shared" ref="R116:S116" si="51">+R117+R118</f>
        <v>56342000</v>
      </c>
      <c r="S116" s="1507">
        <f t="shared" si="51"/>
        <v>56342000</v>
      </c>
      <c r="T116" s="1531">
        <f t="shared" ref="T116:U118" si="52">IF(Q116=0,0,R116/Q116)</f>
        <v>0.10354214019188981</v>
      </c>
      <c r="U116" s="1531">
        <f t="shared" si="52"/>
        <v>1</v>
      </c>
      <c r="V116" s="1532"/>
      <c r="W116" s="1532"/>
      <c r="X116" s="1511"/>
      <c r="Y116" s="3068" t="s">
        <v>2108</v>
      </c>
    </row>
    <row r="117" spans="1:25" ht="25.5" customHeight="1">
      <c r="A117" s="3062"/>
      <c r="B117" s="3062"/>
      <c r="C117" s="3062"/>
      <c r="D117" s="3073"/>
      <c r="E117" s="1494" t="s">
        <v>2140</v>
      </c>
      <c r="F117" s="1492"/>
      <c r="G117" s="1510" t="s">
        <v>2137</v>
      </c>
      <c r="H117" s="1492">
        <v>0</v>
      </c>
      <c r="I117" s="1510" t="s">
        <v>2141</v>
      </c>
      <c r="J117" s="1510" t="s">
        <v>2136</v>
      </c>
      <c r="K117" s="1547">
        <v>1</v>
      </c>
      <c r="L117" s="1548">
        <v>0.5</v>
      </c>
      <c r="M117" s="1506">
        <v>0</v>
      </c>
      <c r="N117" s="1505">
        <v>0</v>
      </c>
      <c r="O117" s="3090"/>
      <c r="P117" s="1507">
        <v>251600000</v>
      </c>
      <c r="Q117" s="1507">
        <v>251600000</v>
      </c>
      <c r="R117" s="1507">
        <v>0</v>
      </c>
      <c r="S117" s="1507">
        <v>0</v>
      </c>
      <c r="T117" s="1531">
        <f t="shared" si="52"/>
        <v>0</v>
      </c>
      <c r="U117" s="1531">
        <f t="shared" si="52"/>
        <v>0</v>
      </c>
      <c r="V117" s="1532"/>
      <c r="W117" s="1532"/>
      <c r="X117" s="1511"/>
      <c r="Y117" s="3068"/>
    </row>
    <row r="118" spans="1:25" ht="16.5" customHeight="1">
      <c r="A118" s="3062"/>
      <c r="B118" s="3062"/>
      <c r="C118" s="3062"/>
      <c r="D118" s="3073"/>
      <c r="E118" s="1494" t="s">
        <v>2142</v>
      </c>
      <c r="F118" s="1492"/>
      <c r="G118" s="1510"/>
      <c r="H118" s="1492"/>
      <c r="I118" s="1510" t="s">
        <v>2143</v>
      </c>
      <c r="J118" s="1510" t="s">
        <v>2121</v>
      </c>
      <c r="K118" s="1547">
        <v>1</v>
      </c>
      <c r="L118" s="1548">
        <v>0.5</v>
      </c>
      <c r="M118" s="1506">
        <v>0</v>
      </c>
      <c r="N118" s="1505">
        <v>0.05</v>
      </c>
      <c r="O118" s="3090"/>
      <c r="P118" s="1507">
        <v>292545600</v>
      </c>
      <c r="Q118" s="1507">
        <v>292545600</v>
      </c>
      <c r="R118" s="1507">
        <v>56342000</v>
      </c>
      <c r="S118" s="1507">
        <v>56342000</v>
      </c>
      <c r="T118" s="1531">
        <f t="shared" si="52"/>
        <v>0.1925921975924437</v>
      </c>
      <c r="U118" s="1531">
        <f>IF(R118=0,0,S118/R118)</f>
        <v>1</v>
      </c>
      <c r="V118" s="1532">
        <v>45370</v>
      </c>
      <c r="W118" s="1532">
        <v>45657</v>
      </c>
      <c r="X118" s="1511" t="s">
        <v>5171</v>
      </c>
      <c r="Y118" s="3068"/>
    </row>
    <row r="119" spans="1:25" ht="148.5" customHeight="1">
      <c r="A119" s="1480"/>
      <c r="B119" s="1480">
        <v>5202004</v>
      </c>
      <c r="C119" s="1480" t="s">
        <v>102</v>
      </c>
      <c r="D119" s="1523" t="s">
        <v>2144</v>
      </c>
      <c r="E119" s="1482"/>
      <c r="F119" s="1480"/>
      <c r="G119" s="1481"/>
      <c r="H119" s="1480"/>
      <c r="I119" s="1523"/>
      <c r="J119" s="1481"/>
      <c r="K119" s="1518"/>
      <c r="L119" s="1519"/>
      <c r="M119" s="1524"/>
      <c r="N119" s="1519"/>
      <c r="O119" s="1525"/>
      <c r="P119" s="1518"/>
      <c r="Q119" s="1518"/>
      <c r="R119" s="1518"/>
      <c r="S119" s="1518"/>
      <c r="T119" s="1519"/>
      <c r="U119" s="1519"/>
      <c r="V119" s="1480"/>
      <c r="W119" s="1480"/>
      <c r="X119" s="1527"/>
      <c r="Y119" s="1488"/>
    </row>
    <row r="120" spans="1:25" ht="16.5" customHeight="1">
      <c r="A120" s="1492"/>
      <c r="B120" s="1542">
        <v>52020040001</v>
      </c>
      <c r="C120" s="1542" t="s">
        <v>103</v>
      </c>
      <c r="D120" s="1528" t="s">
        <v>2145</v>
      </c>
      <c r="E120" s="1494"/>
      <c r="F120" s="1545"/>
      <c r="G120" s="1493"/>
      <c r="H120" s="1545">
        <f>H127</f>
        <v>0</v>
      </c>
      <c r="I120" s="1510"/>
      <c r="J120" s="1493"/>
      <c r="K120" s="1518"/>
      <c r="L120" s="1519"/>
      <c r="M120" s="1529"/>
      <c r="N120" s="1519"/>
      <c r="O120" s="1530"/>
      <c r="P120" s="1518"/>
      <c r="Q120" s="1518"/>
      <c r="R120" s="1518"/>
      <c r="S120" s="1518"/>
      <c r="T120" s="1531"/>
      <c r="U120" s="1531"/>
      <c r="V120" s="1492"/>
      <c r="W120" s="1492"/>
      <c r="X120" s="1511"/>
      <c r="Y120" s="1502"/>
    </row>
    <row r="121" spans="1:25" ht="16.5" customHeight="1">
      <c r="A121" s="1492"/>
      <c r="B121" s="3094"/>
      <c r="C121" s="3094" t="s">
        <v>109</v>
      </c>
      <c r="D121" s="3079" t="s">
        <v>5172</v>
      </c>
      <c r="E121" s="1494" t="s">
        <v>5173</v>
      </c>
      <c r="F121" s="1545"/>
      <c r="G121" s="1493"/>
      <c r="H121" s="1545"/>
      <c r="I121" s="1510"/>
      <c r="J121" s="1510"/>
      <c r="K121" s="1518"/>
      <c r="L121" s="1519"/>
      <c r="M121" s="1529"/>
      <c r="N121" s="1519">
        <f>+N122+N123+N124+N125</f>
        <v>0.29500000000000004</v>
      </c>
      <c r="O121" s="1530"/>
      <c r="P121" s="1507">
        <f>SUM(P122:P124)</f>
        <v>0</v>
      </c>
      <c r="Q121" s="1507">
        <f>SUM(Q122:Q125)</f>
        <v>5188953705</v>
      </c>
      <c r="R121" s="1507">
        <f>SUM(R122:R125)</f>
        <v>1192651800</v>
      </c>
      <c r="S121" s="1507">
        <f t="shared" ref="S121" si="53">SUM(S122:S124)</f>
        <v>179659000</v>
      </c>
      <c r="T121" s="1531">
        <f t="shared" ref="T121:U127" si="54">IF(Q121=0,0,R121/Q121)</f>
        <v>0.22984437090868207</v>
      </c>
      <c r="U121" s="1531">
        <f t="shared" si="54"/>
        <v>0.15063826675983719</v>
      </c>
      <c r="V121" s="1492"/>
      <c r="W121" s="1492"/>
      <c r="X121" s="1511"/>
      <c r="Y121" s="1502"/>
    </row>
    <row r="122" spans="1:25" ht="67.5" customHeight="1">
      <c r="A122" s="1492"/>
      <c r="B122" s="3096"/>
      <c r="C122" s="3096"/>
      <c r="D122" s="3089"/>
      <c r="E122" s="1494" t="s">
        <v>5174</v>
      </c>
      <c r="F122" s="1545"/>
      <c r="G122" s="1510" t="s">
        <v>5175</v>
      </c>
      <c r="H122" s="1545">
        <f>+M122</f>
        <v>1</v>
      </c>
      <c r="I122" s="1510" t="s">
        <v>5176</v>
      </c>
      <c r="J122" s="1510" t="s">
        <v>5177</v>
      </c>
      <c r="K122" s="1518">
        <v>1</v>
      </c>
      <c r="L122" s="1519">
        <v>0.24</v>
      </c>
      <c r="M122" s="1529">
        <v>1</v>
      </c>
      <c r="N122" s="1519">
        <v>0.24</v>
      </c>
      <c r="O122" s="3091">
        <f>IF(Q121&gt;0,N121,"na")</f>
        <v>0.29500000000000004</v>
      </c>
      <c r="P122" s="1507">
        <v>0</v>
      </c>
      <c r="Q122" s="1507">
        <v>994841805</v>
      </c>
      <c r="R122" s="1507">
        <v>419348000</v>
      </c>
      <c r="S122" s="1507">
        <v>97308000</v>
      </c>
      <c r="T122" s="1531">
        <f t="shared" si="54"/>
        <v>0.42152229419028081</v>
      </c>
      <c r="U122" s="1505">
        <f>IF(R122=0,0,S122/R122)</f>
        <v>0.23204593797991166</v>
      </c>
      <c r="V122" s="1532">
        <v>45428</v>
      </c>
      <c r="W122" s="1532">
        <v>45657</v>
      </c>
      <c r="X122" s="1511" t="s">
        <v>5178</v>
      </c>
      <c r="Y122" s="1502"/>
    </row>
    <row r="123" spans="1:25" ht="27" customHeight="1">
      <c r="A123" s="1492"/>
      <c r="B123" s="3096"/>
      <c r="C123" s="3096"/>
      <c r="D123" s="3089"/>
      <c r="E123" s="1494" t="s">
        <v>5179</v>
      </c>
      <c r="F123" s="1545"/>
      <c r="G123" s="1510" t="s">
        <v>5175</v>
      </c>
      <c r="H123" s="1545">
        <f>+M123</f>
        <v>58</v>
      </c>
      <c r="I123" s="1510" t="s">
        <v>5180</v>
      </c>
      <c r="J123" s="1510" t="s">
        <v>5181</v>
      </c>
      <c r="K123" s="1518">
        <v>100</v>
      </c>
      <c r="L123" s="1519">
        <v>0.06</v>
      </c>
      <c r="M123" s="1529">
        <f>43+15</f>
        <v>58</v>
      </c>
      <c r="N123" s="1519">
        <v>3.5000000000000003E-2</v>
      </c>
      <c r="O123" s="3092"/>
      <c r="P123" s="1507"/>
      <c r="Q123" s="1507">
        <v>265535500</v>
      </c>
      <c r="R123" s="1507">
        <v>53256000</v>
      </c>
      <c r="S123" s="1507">
        <v>8876000</v>
      </c>
      <c r="T123" s="1531">
        <f t="shared" si="54"/>
        <v>0.20056075364687584</v>
      </c>
      <c r="U123" s="1505">
        <f>IF(R123=0,0,S123/R123)</f>
        <v>0.16666666666666666</v>
      </c>
      <c r="V123" s="1532">
        <v>45428</v>
      </c>
      <c r="W123" s="1532">
        <v>45657</v>
      </c>
      <c r="X123" s="1511" t="s">
        <v>5182</v>
      </c>
      <c r="Y123" s="1502"/>
    </row>
    <row r="124" spans="1:25" ht="25.5" customHeight="1">
      <c r="A124" s="1492"/>
      <c r="B124" s="3096"/>
      <c r="C124" s="3096"/>
      <c r="D124" s="3089"/>
      <c r="E124" s="1494" t="s">
        <v>5183</v>
      </c>
      <c r="F124" s="1545"/>
      <c r="G124" s="1510" t="s">
        <v>5184</v>
      </c>
      <c r="H124" s="1545">
        <f>+M124</f>
        <v>1332</v>
      </c>
      <c r="I124" s="1510" t="s">
        <v>5185</v>
      </c>
      <c r="J124" s="1494" t="s">
        <v>2176</v>
      </c>
      <c r="K124" s="1494">
        <v>35000</v>
      </c>
      <c r="L124" s="1519">
        <v>0.56999999999999995</v>
      </c>
      <c r="M124" s="1529">
        <f>666+666</f>
        <v>1332</v>
      </c>
      <c r="N124" s="1519">
        <v>0.02</v>
      </c>
      <c r="O124" s="3092"/>
      <c r="P124" s="1507">
        <v>0</v>
      </c>
      <c r="Q124" s="1507">
        <v>2535070400</v>
      </c>
      <c r="R124" s="1507">
        <v>597434300</v>
      </c>
      <c r="S124" s="1507">
        <v>73475000</v>
      </c>
      <c r="T124" s="1531">
        <f t="shared" si="54"/>
        <v>0.23566773530234111</v>
      </c>
      <c r="U124" s="1505">
        <f>IF(R124=0,0,S124/R124)</f>
        <v>0.12298423441707314</v>
      </c>
      <c r="V124" s="1532">
        <v>45428</v>
      </c>
      <c r="W124" s="1532">
        <v>45657</v>
      </c>
      <c r="X124" s="1511" t="s">
        <v>5186</v>
      </c>
      <c r="Y124" s="1502"/>
    </row>
    <row r="125" spans="1:25" ht="16.5" customHeight="1">
      <c r="A125" s="1492"/>
      <c r="B125" s="3095"/>
      <c r="C125" s="3095"/>
      <c r="D125" s="3080"/>
      <c r="E125" s="1494" t="s">
        <v>5187</v>
      </c>
      <c r="F125" s="1545"/>
      <c r="G125" s="1510" t="s">
        <v>5184</v>
      </c>
      <c r="H125" s="1545">
        <f>+M125</f>
        <v>0</v>
      </c>
      <c r="I125" s="1510" t="s">
        <v>5188</v>
      </c>
      <c r="J125" s="1494" t="s">
        <v>2198</v>
      </c>
      <c r="K125" s="1518">
        <v>4</v>
      </c>
      <c r="L125" s="1519">
        <v>0.13</v>
      </c>
      <c r="M125" s="1529">
        <v>0</v>
      </c>
      <c r="N125" s="1519">
        <v>0</v>
      </c>
      <c r="O125" s="3093"/>
      <c r="P125" s="1507"/>
      <c r="Q125" s="1507">
        <v>1393506000</v>
      </c>
      <c r="R125" s="1507">
        <v>122613500</v>
      </c>
      <c r="S125" s="1507">
        <v>0</v>
      </c>
      <c r="T125" s="1531">
        <f t="shared" si="54"/>
        <v>8.7989215690495767E-2</v>
      </c>
      <c r="U125" s="1505">
        <f>IF(R125=0,0,S125/R125)</f>
        <v>0</v>
      </c>
      <c r="V125" s="1532">
        <v>45428</v>
      </c>
      <c r="W125" s="1532">
        <v>45657</v>
      </c>
      <c r="X125" s="1511" t="s">
        <v>5189</v>
      </c>
      <c r="Y125" s="1502"/>
    </row>
    <row r="126" spans="1:25" ht="16.5" customHeight="1">
      <c r="A126" s="3062">
        <v>4146</v>
      </c>
      <c r="B126" s="3062"/>
      <c r="C126" s="3062" t="s">
        <v>109</v>
      </c>
      <c r="D126" s="3073" t="s">
        <v>2146</v>
      </c>
      <c r="E126" s="1494" t="s">
        <v>2147</v>
      </c>
      <c r="F126" s="1492"/>
      <c r="G126" s="1493"/>
      <c r="H126" s="1492"/>
      <c r="I126" s="1510"/>
      <c r="J126" s="1493"/>
      <c r="K126" s="1507">
        <v>160</v>
      </c>
      <c r="L126" s="1505" t="s">
        <v>535</v>
      </c>
      <c r="M126" s="1529"/>
      <c r="N126" s="1505">
        <f>N127</f>
        <v>0</v>
      </c>
      <c r="O126" s="3074">
        <f>IF(Q126&gt;0,N126,"na")</f>
        <v>0</v>
      </c>
      <c r="P126" s="1507">
        <f>P127</f>
        <v>445792000</v>
      </c>
      <c r="Q126" s="1507">
        <f>Q127</f>
        <v>445792000</v>
      </c>
      <c r="R126" s="1507">
        <f t="shared" ref="R126:S126" si="55">R127</f>
        <v>0</v>
      </c>
      <c r="S126" s="1507">
        <f t="shared" si="55"/>
        <v>0</v>
      </c>
      <c r="T126" s="1531">
        <f t="shared" si="54"/>
        <v>0</v>
      </c>
      <c r="U126" s="1531">
        <f t="shared" si="54"/>
        <v>0</v>
      </c>
      <c r="V126" s="1532"/>
      <c r="W126" s="1532"/>
      <c r="X126" s="1511"/>
      <c r="Y126" s="3068" t="s">
        <v>2108</v>
      </c>
    </row>
    <row r="127" spans="1:25" ht="33" customHeight="1">
      <c r="A127" s="3062"/>
      <c r="B127" s="3062"/>
      <c r="C127" s="3062"/>
      <c r="D127" s="3066"/>
      <c r="E127" s="1494" t="s">
        <v>2148</v>
      </c>
      <c r="F127" s="1492"/>
      <c r="G127" s="1510" t="s">
        <v>2145</v>
      </c>
      <c r="H127" s="1492">
        <v>0</v>
      </c>
      <c r="I127" s="1503" t="s">
        <v>2149</v>
      </c>
      <c r="J127" s="1510" t="s">
        <v>2150</v>
      </c>
      <c r="K127" s="1547">
        <v>160</v>
      </c>
      <c r="L127" s="1548">
        <v>1</v>
      </c>
      <c r="M127" s="1506">
        <v>0</v>
      </c>
      <c r="N127" s="1505">
        <v>0</v>
      </c>
      <c r="O127" s="3062"/>
      <c r="P127" s="1507">
        <v>445792000</v>
      </c>
      <c r="Q127" s="1507">
        <v>445792000</v>
      </c>
      <c r="R127" s="1507">
        <v>0</v>
      </c>
      <c r="S127" s="1507">
        <v>0</v>
      </c>
      <c r="T127" s="1531">
        <f t="shared" si="54"/>
        <v>0</v>
      </c>
      <c r="U127" s="1531">
        <f t="shared" si="54"/>
        <v>0</v>
      </c>
      <c r="V127" s="1532"/>
      <c r="W127" s="1532"/>
      <c r="X127" s="1549"/>
      <c r="Y127" s="3068"/>
    </row>
    <row r="128" spans="1:25" ht="114.75" customHeight="1">
      <c r="A128" s="1492"/>
      <c r="B128" s="1542">
        <v>52020040002</v>
      </c>
      <c r="C128" s="1542" t="s">
        <v>103</v>
      </c>
      <c r="D128" s="1528" t="s">
        <v>2151</v>
      </c>
      <c r="E128" s="1494"/>
      <c r="F128" s="1545"/>
      <c r="G128" s="1510"/>
      <c r="H128" s="1492">
        <f>H130</f>
        <v>0</v>
      </c>
      <c r="I128" s="1510"/>
      <c r="J128" s="1510"/>
      <c r="K128" s="1518"/>
      <c r="L128" s="1531"/>
      <c r="M128" s="1529"/>
      <c r="N128" s="1519"/>
      <c r="O128" s="1530"/>
      <c r="P128" s="1518"/>
      <c r="Q128" s="1518"/>
      <c r="R128" s="1518"/>
      <c r="S128" s="1518"/>
      <c r="T128" s="1531"/>
      <c r="U128" s="1531"/>
      <c r="V128" s="1536"/>
      <c r="W128" s="1492"/>
      <c r="X128" s="1511"/>
      <c r="Y128" s="1533"/>
    </row>
    <row r="129" spans="1:25" ht="16.5" customHeight="1">
      <c r="A129" s="3075">
        <v>4146</v>
      </c>
      <c r="B129" s="3075"/>
      <c r="C129" s="3075" t="s">
        <v>109</v>
      </c>
      <c r="D129" s="3073" t="s">
        <v>2152</v>
      </c>
      <c r="E129" s="1494" t="s">
        <v>2153</v>
      </c>
      <c r="F129" s="1492"/>
      <c r="G129" s="1510"/>
      <c r="H129" s="1492"/>
      <c r="I129" s="1510"/>
      <c r="J129" s="1510"/>
      <c r="K129" s="1507">
        <v>282</v>
      </c>
      <c r="L129" s="1531">
        <v>1</v>
      </c>
      <c r="M129" s="1529"/>
      <c r="N129" s="1505">
        <f>+N130</f>
        <v>0.93</v>
      </c>
      <c r="O129" s="3074">
        <f>IF(Q129&gt;0,N129,"na")</f>
        <v>0.93</v>
      </c>
      <c r="P129" s="1507">
        <f>+P130</f>
        <v>10382819800</v>
      </c>
      <c r="Q129" s="1507">
        <f>+Q130</f>
        <v>10382819800</v>
      </c>
      <c r="R129" s="1507">
        <f t="shared" ref="R129:S129" si="56">+R130</f>
        <v>8309667586</v>
      </c>
      <c r="S129" s="1507">
        <f t="shared" si="56"/>
        <v>1921501034</v>
      </c>
      <c r="T129" s="1531">
        <f>IF(Q129=0,0,R129/Q129)</f>
        <v>0.80032859532051204</v>
      </c>
      <c r="U129" s="1531">
        <f>IF(R129=0,0,S129/R129)</f>
        <v>0.23123681111351738</v>
      </c>
      <c r="V129" s="1532"/>
      <c r="W129" s="1532"/>
      <c r="X129" s="1511"/>
      <c r="Y129" s="3068" t="s">
        <v>2108</v>
      </c>
    </row>
    <row r="130" spans="1:25" ht="189" customHeight="1">
      <c r="A130" s="3075"/>
      <c r="B130" s="3075"/>
      <c r="C130" s="3075"/>
      <c r="D130" s="3066"/>
      <c r="E130" s="1494" t="s">
        <v>2154</v>
      </c>
      <c r="F130" s="1492"/>
      <c r="G130" s="1510" t="s">
        <v>2151</v>
      </c>
      <c r="H130" s="1492">
        <v>0</v>
      </c>
      <c r="I130" s="1510" t="s">
        <v>2155</v>
      </c>
      <c r="J130" s="1510" t="s">
        <v>2150</v>
      </c>
      <c r="K130" s="1507">
        <v>282</v>
      </c>
      <c r="L130" s="1531">
        <v>1</v>
      </c>
      <c r="M130" s="1506">
        <v>281</v>
      </c>
      <c r="N130" s="1505">
        <v>0.93</v>
      </c>
      <c r="O130" s="3062"/>
      <c r="P130" s="1507">
        <v>10382819800</v>
      </c>
      <c r="Q130" s="1507">
        <v>10382819800</v>
      </c>
      <c r="R130" s="1507">
        <v>8309667586</v>
      </c>
      <c r="S130" s="1507">
        <v>1921501034</v>
      </c>
      <c r="T130" s="1531">
        <f>IF(Q130=0,0,R130/Q130)</f>
        <v>0.80032859532051204</v>
      </c>
      <c r="U130" s="1531">
        <f>IF(R130=0,0,S130/R130)</f>
        <v>0.23123681111351738</v>
      </c>
      <c r="V130" s="1532">
        <v>45372</v>
      </c>
      <c r="W130" s="1532">
        <v>45657</v>
      </c>
      <c r="X130" s="1549" t="s">
        <v>5190</v>
      </c>
      <c r="Y130" s="3069"/>
    </row>
    <row r="131" spans="1:25" ht="27" customHeight="1">
      <c r="A131" s="1492"/>
      <c r="B131" s="1542">
        <v>52020040003</v>
      </c>
      <c r="C131" s="1542" t="s">
        <v>103</v>
      </c>
      <c r="D131" s="1528" t="s">
        <v>2156</v>
      </c>
      <c r="E131" s="1494"/>
      <c r="F131" s="1545"/>
      <c r="G131" s="1510"/>
      <c r="H131" s="1492">
        <f>H133</f>
        <v>0</v>
      </c>
      <c r="I131" s="1510"/>
      <c r="J131" s="1510"/>
      <c r="K131" s="1518"/>
      <c r="L131" s="1531"/>
      <c r="M131" s="1529"/>
      <c r="N131" s="1519"/>
      <c r="O131" s="1530"/>
      <c r="P131" s="1518"/>
      <c r="Q131" s="1518"/>
      <c r="R131" s="1518"/>
      <c r="S131" s="1518"/>
      <c r="T131" s="1531"/>
      <c r="U131" s="1531"/>
      <c r="V131" s="1536"/>
      <c r="W131" s="1492"/>
      <c r="X131" s="1511"/>
      <c r="Y131" s="1533"/>
    </row>
    <row r="132" spans="1:25" ht="16.5" customHeight="1">
      <c r="A132" s="3075">
        <v>4146</v>
      </c>
      <c r="B132" s="3075"/>
      <c r="C132" s="3075" t="s">
        <v>109</v>
      </c>
      <c r="D132" s="3073" t="s">
        <v>2157</v>
      </c>
      <c r="E132" s="1535" t="s">
        <v>2158</v>
      </c>
      <c r="F132" s="1492"/>
      <c r="G132" s="1510"/>
      <c r="H132" s="1492"/>
      <c r="I132" s="1510"/>
      <c r="J132" s="1510"/>
      <c r="K132" s="1507">
        <v>660</v>
      </c>
      <c r="L132" s="1531">
        <v>1</v>
      </c>
      <c r="M132" s="1507"/>
      <c r="N132" s="1505">
        <f>+N134+N133</f>
        <v>0</v>
      </c>
      <c r="O132" s="3091" t="b">
        <f>O140=IF(Q132&gt;0,N132,"na")</f>
        <v>1</v>
      </c>
      <c r="P132" s="1507">
        <f>+P134+P133</f>
        <v>9203689917</v>
      </c>
      <c r="Q132" s="1507">
        <f>+Q134+Q133</f>
        <v>9203689917</v>
      </c>
      <c r="R132" s="1507">
        <f t="shared" ref="R132:S132" si="57">+R134+R133</f>
        <v>0</v>
      </c>
      <c r="S132" s="1507">
        <f t="shared" si="57"/>
        <v>0</v>
      </c>
      <c r="T132" s="1531">
        <f t="shared" ref="T132:U134" si="58">IF(Q132=0,0,R132/Q132)</f>
        <v>0</v>
      </c>
      <c r="U132" s="1531">
        <f t="shared" si="58"/>
        <v>0</v>
      </c>
      <c r="V132" s="1532"/>
      <c r="W132" s="1532"/>
      <c r="X132" s="1511"/>
      <c r="Y132" s="3079" t="s">
        <v>2108</v>
      </c>
    </row>
    <row r="133" spans="1:25" ht="189" customHeight="1">
      <c r="A133" s="3075"/>
      <c r="B133" s="3075"/>
      <c r="C133" s="3075"/>
      <c r="D133" s="3073"/>
      <c r="E133" s="1535" t="s">
        <v>2159</v>
      </c>
      <c r="F133" s="1492"/>
      <c r="G133" s="1510" t="s">
        <v>2156</v>
      </c>
      <c r="H133" s="1492">
        <v>0</v>
      </c>
      <c r="I133" s="1510" t="s">
        <v>2160</v>
      </c>
      <c r="J133" s="1510" t="s">
        <v>2161</v>
      </c>
      <c r="K133" s="1547">
        <v>660</v>
      </c>
      <c r="L133" s="1531">
        <v>0.98</v>
      </c>
      <c r="M133" s="1506">
        <v>0</v>
      </c>
      <c r="N133" s="1505">
        <v>0</v>
      </c>
      <c r="O133" s="3092"/>
      <c r="P133" s="1507">
        <v>8369033600</v>
      </c>
      <c r="Q133" s="1507">
        <v>8369033600</v>
      </c>
      <c r="R133" s="1507">
        <v>0</v>
      </c>
      <c r="S133" s="1507">
        <v>0</v>
      </c>
      <c r="T133" s="1531">
        <f t="shared" si="58"/>
        <v>0</v>
      </c>
      <c r="U133" s="1531">
        <f t="shared" si="58"/>
        <v>0</v>
      </c>
      <c r="V133" s="1532"/>
      <c r="W133" s="1532"/>
      <c r="X133" s="1511"/>
      <c r="Y133" s="3089"/>
    </row>
    <row r="134" spans="1:25" ht="25.5" customHeight="1">
      <c r="A134" s="3075"/>
      <c r="B134" s="3075"/>
      <c r="C134" s="3075"/>
      <c r="D134" s="3066"/>
      <c r="E134" s="1535" t="s">
        <v>2162</v>
      </c>
      <c r="F134" s="1492"/>
      <c r="G134" s="1510"/>
      <c r="H134" s="1492"/>
      <c r="I134" s="1510" t="s">
        <v>2163</v>
      </c>
      <c r="J134" s="1510" t="s">
        <v>2164</v>
      </c>
      <c r="K134" s="1547">
        <v>22</v>
      </c>
      <c r="L134" s="1531">
        <v>0.02</v>
      </c>
      <c r="M134" s="1506">
        <v>0</v>
      </c>
      <c r="N134" s="1505">
        <v>0</v>
      </c>
      <c r="O134" s="3093"/>
      <c r="P134" s="1507">
        <v>834656317</v>
      </c>
      <c r="Q134" s="1507">
        <v>834656317</v>
      </c>
      <c r="R134" s="1507">
        <v>0</v>
      </c>
      <c r="S134" s="1507">
        <v>0</v>
      </c>
      <c r="T134" s="1531">
        <f t="shared" si="58"/>
        <v>0</v>
      </c>
      <c r="U134" s="1531">
        <f t="shared" si="58"/>
        <v>0</v>
      </c>
      <c r="V134" s="1532"/>
      <c r="W134" s="1532"/>
      <c r="X134" s="1511"/>
      <c r="Y134" s="3089"/>
    </row>
    <row r="135" spans="1:25" ht="16.5" customHeight="1">
      <c r="A135" s="1542"/>
      <c r="B135" s="1542">
        <v>52020040004</v>
      </c>
      <c r="C135" s="1542" t="s">
        <v>103</v>
      </c>
      <c r="D135" s="1510" t="s">
        <v>5191</v>
      </c>
      <c r="E135" s="1535"/>
      <c r="F135" s="1492"/>
      <c r="G135" s="1510"/>
      <c r="H135" s="1492"/>
      <c r="I135" s="1510"/>
      <c r="J135" s="1510"/>
      <c r="K135" s="1547"/>
      <c r="L135" s="1531"/>
      <c r="M135" s="1506"/>
      <c r="N135" s="1505"/>
      <c r="O135" s="1492"/>
      <c r="P135" s="1492"/>
      <c r="Q135" s="1492"/>
      <c r="R135" s="1492"/>
      <c r="S135" s="1507"/>
      <c r="T135" s="1531"/>
      <c r="U135" s="1531"/>
      <c r="V135" s="1532"/>
      <c r="W135" s="1532"/>
      <c r="X135" s="1511"/>
      <c r="Y135" s="1538"/>
    </row>
    <row r="136" spans="1:25" ht="16.5" customHeight="1">
      <c r="A136" s="1542"/>
      <c r="B136" s="3094"/>
      <c r="C136" s="3094" t="s">
        <v>109</v>
      </c>
      <c r="D136" s="3083" t="s">
        <v>5192</v>
      </c>
      <c r="E136" s="1535" t="s">
        <v>5193</v>
      </c>
      <c r="F136" s="1492"/>
      <c r="G136" s="1510"/>
      <c r="H136" s="1492"/>
      <c r="I136" s="1510"/>
      <c r="J136" s="1510"/>
      <c r="K136" s="1547"/>
      <c r="L136" s="1531">
        <f>+L137</f>
        <v>1</v>
      </c>
      <c r="M136" s="1506"/>
      <c r="N136" s="1505">
        <f>+N137</f>
        <v>0</v>
      </c>
      <c r="O136" s="1492"/>
      <c r="P136" s="1492">
        <f>+P137</f>
        <v>0</v>
      </c>
      <c r="Q136" s="1507">
        <f>+Q137</f>
        <v>327704600</v>
      </c>
      <c r="R136" s="1492">
        <f t="shared" ref="R136:S136" si="59">+R137</f>
        <v>0</v>
      </c>
      <c r="S136" s="1492">
        <f t="shared" si="59"/>
        <v>0</v>
      </c>
      <c r="T136" s="1505">
        <f t="shared" ref="T136:U137" si="60">IF(Q136=0,0,R136/Q136)</f>
        <v>0</v>
      </c>
      <c r="U136" s="1505">
        <f t="shared" si="60"/>
        <v>0</v>
      </c>
      <c r="V136" s="1532"/>
      <c r="W136" s="1532"/>
      <c r="X136" s="1511"/>
      <c r="Y136" s="3089" t="s">
        <v>2108</v>
      </c>
    </row>
    <row r="137" spans="1:25" ht="94.5" customHeight="1">
      <c r="A137" s="1542"/>
      <c r="B137" s="3095"/>
      <c r="C137" s="3095"/>
      <c r="D137" s="3085"/>
      <c r="E137" s="1535" t="s">
        <v>5194</v>
      </c>
      <c r="F137" s="1492"/>
      <c r="G137" s="1510" t="s">
        <v>5195</v>
      </c>
      <c r="H137" s="1492">
        <v>700</v>
      </c>
      <c r="I137" s="1510" t="s">
        <v>5196</v>
      </c>
      <c r="J137" s="1510" t="s">
        <v>5197</v>
      </c>
      <c r="K137" s="1547">
        <v>700</v>
      </c>
      <c r="L137" s="1531">
        <v>1</v>
      </c>
      <c r="M137" s="1506">
        <v>0</v>
      </c>
      <c r="N137" s="1505">
        <v>0</v>
      </c>
      <c r="O137" s="1574">
        <f>IF(Q136&gt;0,N136,"na")</f>
        <v>0</v>
      </c>
      <c r="P137" s="1492">
        <v>0</v>
      </c>
      <c r="Q137" s="1507">
        <v>327704600</v>
      </c>
      <c r="R137" s="1507"/>
      <c r="S137" s="1507"/>
      <c r="T137" s="1531">
        <f t="shared" si="60"/>
        <v>0</v>
      </c>
      <c r="U137" s="1505">
        <f>IF(R137=0,0,S137/R137)</f>
        <v>0</v>
      </c>
      <c r="V137" s="1532"/>
      <c r="W137" s="1532"/>
      <c r="X137" s="1511"/>
      <c r="Y137" s="3080"/>
    </row>
    <row r="138" spans="1:25" ht="40.5">
      <c r="A138" s="1542"/>
      <c r="B138" s="1542">
        <v>52020040005</v>
      </c>
      <c r="C138" s="1542" t="s">
        <v>103</v>
      </c>
      <c r="D138" s="1510" t="s">
        <v>2165</v>
      </c>
      <c r="E138" s="1535"/>
      <c r="F138" s="1492"/>
      <c r="G138" s="1510"/>
      <c r="H138" s="1492">
        <f>H142</f>
        <v>0</v>
      </c>
      <c r="I138" s="1510"/>
      <c r="J138" s="1510"/>
      <c r="K138" s="1507"/>
      <c r="L138" s="1531"/>
      <c r="M138" s="1529"/>
      <c r="N138" s="1505"/>
      <c r="O138" s="1575"/>
      <c r="P138" s="1507"/>
      <c r="Q138" s="1507"/>
      <c r="R138" s="1507"/>
      <c r="S138" s="1507"/>
      <c r="T138" s="1531"/>
      <c r="U138" s="1531"/>
      <c r="V138" s="1532"/>
      <c r="W138" s="1532"/>
      <c r="X138" s="1549"/>
      <c r="Y138" s="1512"/>
    </row>
    <row r="139" spans="1:25" ht="25.5" customHeight="1">
      <c r="A139" s="1555"/>
      <c r="B139" s="3094"/>
      <c r="C139" s="3094" t="s">
        <v>109</v>
      </c>
      <c r="D139" s="3083" t="s">
        <v>5198</v>
      </c>
      <c r="E139" s="1535" t="s">
        <v>5199</v>
      </c>
      <c r="F139" s="1492"/>
      <c r="G139" s="1510"/>
      <c r="H139" s="1492"/>
      <c r="I139" s="1510"/>
      <c r="J139" s="1510"/>
      <c r="K139" s="1507"/>
      <c r="L139" s="1531"/>
      <c r="M139" s="1529"/>
      <c r="N139" s="1505"/>
      <c r="O139" s="3105">
        <f>IF(Q139&gt;0,N139,"na")</f>
        <v>0</v>
      </c>
      <c r="P139" s="1545">
        <f>+P140</f>
        <v>0</v>
      </c>
      <c r="Q139" s="1507">
        <f>+Q140</f>
        <v>332255400</v>
      </c>
      <c r="R139" s="1507">
        <f t="shared" ref="R139:S139" si="61">+R140</f>
        <v>0</v>
      </c>
      <c r="S139" s="1507">
        <f t="shared" si="61"/>
        <v>0</v>
      </c>
      <c r="T139" s="1505">
        <f t="shared" ref="T139:U142" si="62">IF(Q139=0,0,R139/Q139)</f>
        <v>0</v>
      </c>
      <c r="U139" s="1505">
        <f t="shared" si="62"/>
        <v>0</v>
      </c>
      <c r="V139" s="1532"/>
      <c r="W139" s="1532"/>
      <c r="X139" s="1549"/>
      <c r="Y139" s="3070" t="s">
        <v>2108</v>
      </c>
    </row>
    <row r="140" spans="1:25" ht="16.5" customHeight="1">
      <c r="A140" s="1555"/>
      <c r="B140" s="3095"/>
      <c r="C140" s="3095"/>
      <c r="D140" s="3084"/>
      <c r="E140" s="1535"/>
      <c r="F140" s="1492"/>
      <c r="G140" s="1510" t="s">
        <v>5200</v>
      </c>
      <c r="H140" s="1492">
        <v>320</v>
      </c>
      <c r="I140" s="1510" t="s">
        <v>5201</v>
      </c>
      <c r="J140" s="1510" t="s">
        <v>2176</v>
      </c>
      <c r="K140" s="1507">
        <v>320</v>
      </c>
      <c r="L140" s="1531">
        <v>1</v>
      </c>
      <c r="M140" s="1529">
        <v>0</v>
      </c>
      <c r="N140" s="1505">
        <v>0</v>
      </c>
      <c r="O140" s="3105"/>
      <c r="P140" s="1507">
        <v>0</v>
      </c>
      <c r="Q140" s="1507">
        <v>332255400</v>
      </c>
      <c r="R140" s="1507"/>
      <c r="S140" s="1507"/>
      <c r="T140" s="1531">
        <f t="shared" si="62"/>
        <v>0</v>
      </c>
      <c r="U140" s="1505">
        <f>IF(R140=0,0,S140/R140)</f>
        <v>0</v>
      </c>
      <c r="V140" s="1532"/>
      <c r="W140" s="1532"/>
      <c r="X140" s="1549"/>
      <c r="Y140" s="3072"/>
    </row>
    <row r="141" spans="1:25" ht="16.5" customHeight="1">
      <c r="A141" s="3094">
        <v>4146</v>
      </c>
      <c r="B141" s="3094"/>
      <c r="C141" s="3094" t="s">
        <v>109</v>
      </c>
      <c r="D141" s="3083" t="s">
        <v>2166</v>
      </c>
      <c r="E141" s="1535" t="s">
        <v>2167</v>
      </c>
      <c r="F141" s="1492"/>
      <c r="G141" s="1510"/>
      <c r="H141" s="1492"/>
      <c r="I141" s="1510"/>
      <c r="J141" s="1510"/>
      <c r="K141" s="1547">
        <v>100</v>
      </c>
      <c r="L141" s="1531" t="s">
        <v>535</v>
      </c>
      <c r="M141" s="1529"/>
      <c r="N141" s="1505">
        <f>+N142</f>
        <v>0</v>
      </c>
      <c r="O141" s="3105">
        <f>IF(Q141&gt;0,N141,"na")</f>
        <v>0</v>
      </c>
      <c r="P141" s="1507">
        <f>+P142</f>
        <v>182280000</v>
      </c>
      <c r="Q141" s="1507">
        <f t="shared" ref="Q141:S141" si="63">+Q142</f>
        <v>182280000</v>
      </c>
      <c r="R141" s="1507">
        <f t="shared" si="63"/>
        <v>0</v>
      </c>
      <c r="S141" s="1507">
        <f t="shared" si="63"/>
        <v>0</v>
      </c>
      <c r="T141" s="1531">
        <f t="shared" si="62"/>
        <v>0</v>
      </c>
      <c r="U141" s="1531">
        <f t="shared" si="62"/>
        <v>0</v>
      </c>
      <c r="V141" s="1532"/>
      <c r="W141" s="1532"/>
      <c r="X141" s="1549"/>
      <c r="Y141" s="3079" t="s">
        <v>1964</v>
      </c>
    </row>
    <row r="142" spans="1:25" ht="38.25" customHeight="1">
      <c r="A142" s="3096"/>
      <c r="B142" s="3096"/>
      <c r="C142" s="3096"/>
      <c r="D142" s="3084"/>
      <c r="E142" s="1535" t="s">
        <v>2168</v>
      </c>
      <c r="F142" s="1492"/>
      <c r="G142" s="1510" t="s">
        <v>2165</v>
      </c>
      <c r="H142" s="1492">
        <v>0</v>
      </c>
      <c r="I142" s="1510" t="s">
        <v>2169</v>
      </c>
      <c r="J142" s="1510" t="s">
        <v>2170</v>
      </c>
      <c r="K142" s="1547">
        <v>100</v>
      </c>
      <c r="L142" s="1531">
        <v>1</v>
      </c>
      <c r="M142" s="1506">
        <v>0</v>
      </c>
      <c r="N142" s="1505">
        <v>0</v>
      </c>
      <c r="O142" s="3105"/>
      <c r="P142" s="1507">
        <v>182280000</v>
      </c>
      <c r="Q142" s="1507">
        <v>182280000</v>
      </c>
      <c r="R142" s="1507">
        <v>0</v>
      </c>
      <c r="S142" s="1507">
        <v>0</v>
      </c>
      <c r="T142" s="1531">
        <f>IF(Q142=0,0,R142/Q142)</f>
        <v>0</v>
      </c>
      <c r="U142" s="1531">
        <f t="shared" si="62"/>
        <v>0</v>
      </c>
      <c r="V142" s="1532"/>
      <c r="W142" s="1532"/>
      <c r="X142" s="1549"/>
      <c r="Y142" s="3089"/>
    </row>
    <row r="143" spans="1:25" ht="16.5" customHeight="1">
      <c r="A143" s="1480"/>
      <c r="B143" s="1480">
        <v>5202005</v>
      </c>
      <c r="C143" s="1480" t="s">
        <v>102</v>
      </c>
      <c r="D143" s="1523" t="s">
        <v>1211</v>
      </c>
      <c r="E143" s="1535"/>
      <c r="F143" s="1480"/>
      <c r="G143" s="1481"/>
      <c r="H143" s="1480"/>
      <c r="I143" s="1523"/>
      <c r="J143" s="1481"/>
      <c r="K143" s="1518"/>
      <c r="L143" s="1519"/>
      <c r="M143" s="1524"/>
      <c r="N143" s="1519"/>
      <c r="O143" s="1525"/>
      <c r="P143" s="1518"/>
      <c r="Q143" s="1518"/>
      <c r="R143" s="1518"/>
      <c r="S143" s="1518"/>
      <c r="T143" s="1519"/>
      <c r="U143" s="1519"/>
      <c r="V143" s="1480"/>
      <c r="W143" s="1480"/>
      <c r="X143" s="1527"/>
      <c r="Y143" s="1488"/>
    </row>
    <row r="144" spans="1:25" ht="94.5" customHeight="1">
      <c r="A144" s="1492"/>
      <c r="B144" s="1492">
        <v>52020050001</v>
      </c>
      <c r="C144" s="1492" t="s">
        <v>103</v>
      </c>
      <c r="D144" s="1528" t="s">
        <v>2171</v>
      </c>
      <c r="E144" s="1535"/>
      <c r="F144" s="1545"/>
      <c r="G144" s="1493"/>
      <c r="H144" s="1545">
        <f>H146+H149</f>
        <v>10</v>
      </c>
      <c r="I144" s="1576"/>
      <c r="J144" s="1493"/>
      <c r="K144" s="1518"/>
      <c r="L144" s="1519"/>
      <c r="M144" s="1529"/>
      <c r="N144" s="1519"/>
      <c r="O144" s="1530"/>
      <c r="P144" s="1518"/>
      <c r="Q144" s="1518"/>
      <c r="R144" s="1518"/>
      <c r="S144" s="1518"/>
      <c r="T144" s="1531"/>
      <c r="U144" s="1531"/>
      <c r="V144" s="1492"/>
      <c r="W144" s="1492"/>
      <c r="X144" s="1511"/>
      <c r="Y144" s="1502"/>
    </row>
    <row r="145" spans="1:25" ht="67.5" customHeight="1">
      <c r="A145" s="3070">
        <v>4146</v>
      </c>
      <c r="B145" s="3070"/>
      <c r="C145" s="3070" t="s">
        <v>109</v>
      </c>
      <c r="D145" s="3083" t="s">
        <v>2172</v>
      </c>
      <c r="E145" s="1535" t="s">
        <v>2173</v>
      </c>
      <c r="F145" s="1492"/>
      <c r="G145" s="1493"/>
      <c r="H145" s="1492"/>
      <c r="I145" s="1510"/>
      <c r="J145" s="1510"/>
      <c r="K145" s="1507">
        <v>500</v>
      </c>
      <c r="L145" s="1531">
        <v>1</v>
      </c>
      <c r="M145" s="1529"/>
      <c r="N145" s="1505">
        <f>+N146+N147</f>
        <v>0</v>
      </c>
      <c r="O145" s="3091">
        <f>IF(Q145&gt;0,N145,"na")</f>
        <v>0</v>
      </c>
      <c r="P145" s="1507">
        <f>+P146+P147</f>
        <v>310000000</v>
      </c>
      <c r="Q145" s="1507">
        <f t="shared" ref="Q145:S145" si="64">+Q146+Q147</f>
        <v>310000000</v>
      </c>
      <c r="R145" s="1507">
        <f t="shared" si="64"/>
        <v>0</v>
      </c>
      <c r="S145" s="1507">
        <f t="shared" si="64"/>
        <v>0</v>
      </c>
      <c r="T145" s="1531">
        <f>IF(Q145=0,0,R145/Q145)</f>
        <v>0</v>
      </c>
      <c r="U145" s="1531">
        <f>IF(R145=0,0,S145/R145)</f>
        <v>0</v>
      </c>
      <c r="V145" s="1536"/>
      <c r="W145" s="1536"/>
      <c r="X145" s="1511"/>
      <c r="Y145" s="3079" t="s">
        <v>1964</v>
      </c>
    </row>
    <row r="146" spans="1:25" ht="135" customHeight="1">
      <c r="A146" s="3071"/>
      <c r="B146" s="3071"/>
      <c r="C146" s="3071"/>
      <c r="D146" s="3084"/>
      <c r="E146" s="1535" t="s">
        <v>2174</v>
      </c>
      <c r="F146" s="1492"/>
      <c r="G146" s="1510" t="s">
        <v>2171</v>
      </c>
      <c r="H146" s="1492">
        <v>0</v>
      </c>
      <c r="I146" s="1510" t="s">
        <v>2175</v>
      </c>
      <c r="J146" s="1510" t="s">
        <v>2176</v>
      </c>
      <c r="K146" s="1547">
        <v>500</v>
      </c>
      <c r="L146" s="1531">
        <v>0.63</v>
      </c>
      <c r="M146" s="1506">
        <v>0</v>
      </c>
      <c r="N146" s="1505">
        <v>0</v>
      </c>
      <c r="O146" s="3092"/>
      <c r="P146" s="1507">
        <v>300000000</v>
      </c>
      <c r="Q146" s="1507">
        <v>300000000</v>
      </c>
      <c r="R146" s="1507">
        <v>0</v>
      </c>
      <c r="S146" s="1507">
        <v>0</v>
      </c>
      <c r="T146" s="1531">
        <f t="shared" ref="T146:U149" si="65">IF(Q146=0,0,R146/Q146)</f>
        <v>0</v>
      </c>
      <c r="U146" s="1531">
        <f>IF(R146=0,0,S146/R146)</f>
        <v>0</v>
      </c>
      <c r="V146" s="1532"/>
      <c r="W146" s="1532"/>
      <c r="X146" s="1511"/>
      <c r="Y146" s="3089"/>
    </row>
    <row r="147" spans="1:25">
      <c r="A147" s="3072"/>
      <c r="B147" s="3072"/>
      <c r="C147" s="3072"/>
      <c r="D147" s="3085"/>
      <c r="E147" s="1535" t="s">
        <v>2177</v>
      </c>
      <c r="F147" s="1492"/>
      <c r="G147" s="1510"/>
      <c r="H147" s="1492"/>
      <c r="I147" s="1510" t="s">
        <v>2178</v>
      </c>
      <c r="J147" s="1510" t="s">
        <v>2179</v>
      </c>
      <c r="K147" s="1547">
        <v>1</v>
      </c>
      <c r="L147" s="1531">
        <v>0.37</v>
      </c>
      <c r="M147" s="1506">
        <v>0</v>
      </c>
      <c r="N147" s="1505">
        <v>0</v>
      </c>
      <c r="O147" s="3093"/>
      <c r="P147" s="1507">
        <v>10000000</v>
      </c>
      <c r="Q147" s="1507">
        <v>10000000</v>
      </c>
      <c r="R147" s="1507">
        <v>0</v>
      </c>
      <c r="S147" s="1507">
        <v>0</v>
      </c>
      <c r="T147" s="1531">
        <f t="shared" si="65"/>
        <v>0</v>
      </c>
      <c r="U147" s="1531">
        <f>IF(R147=0,0,S147/R147)</f>
        <v>0</v>
      </c>
      <c r="V147" s="1532"/>
      <c r="W147" s="1532"/>
      <c r="X147" s="1511"/>
      <c r="Y147" s="3080"/>
    </row>
    <row r="148" spans="1:25" ht="16.5" customHeight="1">
      <c r="A148" s="3062">
        <v>4146</v>
      </c>
      <c r="B148" s="3062"/>
      <c r="C148" s="3062" t="s">
        <v>109</v>
      </c>
      <c r="D148" s="3073" t="s">
        <v>2180</v>
      </c>
      <c r="E148" s="1535" t="s">
        <v>2181</v>
      </c>
      <c r="F148" s="1492"/>
      <c r="G148" s="1493"/>
      <c r="H148" s="1492"/>
      <c r="I148" s="1510"/>
      <c r="J148" s="1510"/>
      <c r="K148" s="1507">
        <v>1200</v>
      </c>
      <c r="L148" s="1531">
        <v>1</v>
      </c>
      <c r="M148" s="1529"/>
      <c r="N148" s="1505">
        <f>N149</f>
        <v>0.22</v>
      </c>
      <c r="O148" s="3074">
        <f>IF(Q148&gt;0,N148,"na")</f>
        <v>0.22</v>
      </c>
      <c r="P148" s="1507">
        <f>P149</f>
        <v>1872932976</v>
      </c>
      <c r="Q148" s="1507">
        <f t="shared" ref="Q148:S148" si="66">Q149</f>
        <v>1372932976</v>
      </c>
      <c r="R148" s="1507">
        <f t="shared" si="66"/>
        <v>498616000</v>
      </c>
      <c r="S148" s="1507">
        <f t="shared" si="66"/>
        <v>229748000</v>
      </c>
      <c r="T148" s="1531">
        <f t="shared" si="65"/>
        <v>0.36317577676129764</v>
      </c>
      <c r="U148" s="1531">
        <f t="shared" si="65"/>
        <v>0.46077141527748811</v>
      </c>
      <c r="V148" s="1536"/>
      <c r="W148" s="1536"/>
      <c r="X148" s="1511"/>
      <c r="Y148" s="3079" t="s">
        <v>1964</v>
      </c>
    </row>
    <row r="149" spans="1:25" ht="67.5" customHeight="1">
      <c r="A149" s="3062"/>
      <c r="B149" s="3062"/>
      <c r="C149" s="3062"/>
      <c r="D149" s="3073"/>
      <c r="E149" s="1535" t="s">
        <v>2182</v>
      </c>
      <c r="F149" s="1492"/>
      <c r="G149" s="1510" t="s">
        <v>2171</v>
      </c>
      <c r="H149" s="1492">
        <v>10</v>
      </c>
      <c r="I149" s="1510" t="s">
        <v>2183</v>
      </c>
      <c r="J149" s="1510" t="s">
        <v>2176</v>
      </c>
      <c r="K149" s="1547">
        <v>1200</v>
      </c>
      <c r="L149" s="1531">
        <v>1</v>
      </c>
      <c r="M149" s="1506">
        <f>10+310+206+261</f>
        <v>787</v>
      </c>
      <c r="N149" s="1505">
        <v>0.22</v>
      </c>
      <c r="O149" s="3062"/>
      <c r="P149" s="1507">
        <v>1872932976</v>
      </c>
      <c r="Q149" s="1507">
        <v>1372932976</v>
      </c>
      <c r="R149" s="1507">
        <v>498616000</v>
      </c>
      <c r="S149" s="1507">
        <v>229748000</v>
      </c>
      <c r="T149" s="1531">
        <f t="shared" si="65"/>
        <v>0.36317577676129764</v>
      </c>
      <c r="U149" s="1531">
        <f t="shared" si="65"/>
        <v>0.46077141527748811</v>
      </c>
      <c r="V149" s="1532">
        <v>45307</v>
      </c>
      <c r="W149" s="1536">
        <v>45657</v>
      </c>
      <c r="X149" s="1511" t="s">
        <v>5202</v>
      </c>
      <c r="Y149" s="3080"/>
    </row>
    <row r="150" spans="1:25" ht="67.5" customHeight="1">
      <c r="A150" s="1492"/>
      <c r="B150" s="1542">
        <v>52020050002</v>
      </c>
      <c r="C150" s="1492" t="s">
        <v>103</v>
      </c>
      <c r="D150" s="1528" t="s">
        <v>2184</v>
      </c>
      <c r="E150" s="1494"/>
      <c r="F150" s="1545"/>
      <c r="G150" s="1493"/>
      <c r="H150" s="1492">
        <f>H152+H153</f>
        <v>0</v>
      </c>
      <c r="I150" s="1510"/>
      <c r="J150" s="1493"/>
      <c r="K150" s="1518"/>
      <c r="L150" s="1519"/>
      <c r="M150" s="1529"/>
      <c r="N150" s="1519"/>
      <c r="O150" s="1530"/>
      <c r="P150" s="1518"/>
      <c r="Q150" s="1518"/>
      <c r="R150" s="1518"/>
      <c r="S150" s="1518"/>
      <c r="T150" s="1531"/>
      <c r="U150" s="1531"/>
      <c r="V150" s="1492"/>
      <c r="W150" s="1492"/>
      <c r="X150" s="1511"/>
      <c r="Y150" s="1502"/>
    </row>
    <row r="151" spans="1:25" ht="16.5" customHeight="1">
      <c r="A151" s="3062">
        <v>4146</v>
      </c>
      <c r="B151" s="3062"/>
      <c r="C151" s="3062" t="s">
        <v>109</v>
      </c>
      <c r="D151" s="3073" t="s">
        <v>2185</v>
      </c>
      <c r="E151" s="1494" t="s">
        <v>2186</v>
      </c>
      <c r="F151" s="1492"/>
      <c r="G151" s="1493"/>
      <c r="H151" s="1492"/>
      <c r="I151" s="1510"/>
      <c r="J151" s="1493"/>
      <c r="K151" s="1507">
        <v>390</v>
      </c>
      <c r="L151" s="1505">
        <v>1</v>
      </c>
      <c r="M151" s="1529"/>
      <c r="N151" s="1505">
        <f>+N152+N153</f>
        <v>0</v>
      </c>
      <c r="O151" s="3074">
        <f>IF(Q151&gt;0,N151,"na")</f>
        <v>0</v>
      </c>
      <c r="P151" s="1507">
        <f>+P152+P153</f>
        <v>460000000</v>
      </c>
      <c r="Q151" s="1507">
        <f t="shared" ref="Q151:S151" si="67">+Q152+Q153</f>
        <v>661899976</v>
      </c>
      <c r="R151" s="1507">
        <f t="shared" si="67"/>
        <v>0</v>
      </c>
      <c r="S151" s="1507">
        <f t="shared" si="67"/>
        <v>0</v>
      </c>
      <c r="T151" s="1531">
        <f t="shared" ref="T151:U153" si="68">IF(Q151=0,0,R151/Q151)</f>
        <v>0</v>
      </c>
      <c r="U151" s="1531">
        <f t="shared" si="68"/>
        <v>0</v>
      </c>
      <c r="V151" s="1532"/>
      <c r="W151" s="1532"/>
      <c r="X151" s="1511"/>
      <c r="Y151" s="3079" t="s">
        <v>2108</v>
      </c>
    </row>
    <row r="152" spans="1:25" ht="25.5" customHeight="1">
      <c r="A152" s="3062"/>
      <c r="B152" s="3062"/>
      <c r="C152" s="3062"/>
      <c r="D152" s="3066"/>
      <c r="E152" s="1494" t="s">
        <v>2187</v>
      </c>
      <c r="F152" s="1492"/>
      <c r="G152" s="1503" t="s">
        <v>2184</v>
      </c>
      <c r="H152" s="1500">
        <v>0</v>
      </c>
      <c r="I152" s="1503" t="s">
        <v>2188</v>
      </c>
      <c r="J152" s="1510" t="s">
        <v>2189</v>
      </c>
      <c r="K152" s="1507">
        <v>190</v>
      </c>
      <c r="L152" s="1505">
        <v>0.76</v>
      </c>
      <c r="M152" s="1506">
        <v>0</v>
      </c>
      <c r="N152" s="1505">
        <v>0</v>
      </c>
      <c r="O152" s="3062"/>
      <c r="P152" s="1507">
        <v>390184780</v>
      </c>
      <c r="Q152" s="1507">
        <v>487012850</v>
      </c>
      <c r="R152" s="1507">
        <v>0</v>
      </c>
      <c r="S152" s="1507">
        <v>0</v>
      </c>
      <c r="T152" s="1531">
        <f t="shared" si="68"/>
        <v>0</v>
      </c>
      <c r="U152" s="1531">
        <f t="shared" si="68"/>
        <v>0</v>
      </c>
      <c r="V152" s="1532"/>
      <c r="W152" s="1532"/>
      <c r="X152" s="1511"/>
      <c r="Y152" s="3089"/>
    </row>
    <row r="153" spans="1:25" ht="16.5" customHeight="1">
      <c r="A153" s="3062"/>
      <c r="B153" s="3062"/>
      <c r="C153" s="3062"/>
      <c r="D153" s="3066"/>
      <c r="E153" s="1494" t="s">
        <v>2190</v>
      </c>
      <c r="F153" s="1492"/>
      <c r="G153" s="1503" t="s">
        <v>2184</v>
      </c>
      <c r="H153" s="1500">
        <v>0</v>
      </c>
      <c r="I153" s="1503" t="s">
        <v>2191</v>
      </c>
      <c r="J153" s="1510" t="s">
        <v>2192</v>
      </c>
      <c r="K153" s="1507">
        <v>200</v>
      </c>
      <c r="L153" s="1505">
        <v>0.24</v>
      </c>
      <c r="M153" s="1506">
        <v>0</v>
      </c>
      <c r="N153" s="1505">
        <v>0</v>
      </c>
      <c r="O153" s="3062"/>
      <c r="P153" s="1507">
        <v>69815220</v>
      </c>
      <c r="Q153" s="1507">
        <v>174887126</v>
      </c>
      <c r="R153" s="1507">
        <v>0</v>
      </c>
      <c r="S153" s="1507">
        <v>0</v>
      </c>
      <c r="T153" s="1531">
        <f t="shared" si="68"/>
        <v>0</v>
      </c>
      <c r="U153" s="1531">
        <f t="shared" si="68"/>
        <v>0</v>
      </c>
      <c r="V153" s="1532"/>
      <c r="W153" s="1532"/>
      <c r="X153" s="1511"/>
      <c r="Y153" s="3089"/>
    </row>
    <row r="154" spans="1:25" ht="148.5" customHeight="1">
      <c r="A154" s="1480"/>
      <c r="B154" s="1480">
        <v>5202006</v>
      </c>
      <c r="C154" s="1480" t="s">
        <v>102</v>
      </c>
      <c r="D154" s="1523" t="s">
        <v>1600</v>
      </c>
      <c r="E154" s="1482"/>
      <c r="F154" s="1480"/>
      <c r="G154" s="1481"/>
      <c r="H154" s="1480"/>
      <c r="I154" s="1523"/>
      <c r="J154" s="1481"/>
      <c r="K154" s="1569"/>
      <c r="L154" s="1519"/>
      <c r="M154" s="1524"/>
      <c r="N154" s="1519"/>
      <c r="O154" s="1525"/>
      <c r="P154" s="1518"/>
      <c r="Q154" s="1518"/>
      <c r="R154" s="1518"/>
      <c r="S154" s="1518"/>
      <c r="T154" s="1519"/>
      <c r="U154" s="1519"/>
      <c r="V154" s="1480"/>
      <c r="W154" s="1480"/>
      <c r="X154" s="1527"/>
      <c r="Y154" s="1488"/>
    </row>
    <row r="155" spans="1:25" ht="40.5" customHeight="1">
      <c r="A155" s="1492"/>
      <c r="B155" s="1542">
        <v>52020060003</v>
      </c>
      <c r="C155" s="1492" t="s">
        <v>103</v>
      </c>
      <c r="D155" s="1528" t="s">
        <v>2193</v>
      </c>
      <c r="E155" s="1494"/>
      <c r="F155" s="1492"/>
      <c r="G155" s="1510"/>
      <c r="H155" s="1492">
        <f>H157</f>
        <v>0</v>
      </c>
      <c r="I155" s="1577"/>
      <c r="J155" s="1493"/>
      <c r="K155" s="1507"/>
      <c r="L155" s="1505"/>
      <c r="M155" s="1529"/>
      <c r="N155" s="1505"/>
      <c r="O155" s="1530"/>
      <c r="P155" s="1507"/>
      <c r="Q155" s="1507"/>
      <c r="R155" s="1507"/>
      <c r="S155" s="1507"/>
      <c r="T155" s="1531"/>
      <c r="U155" s="1531"/>
      <c r="V155" s="1492"/>
      <c r="W155" s="1492"/>
      <c r="X155" s="1511"/>
      <c r="Y155" s="1512"/>
    </row>
    <row r="156" spans="1:25" ht="27" customHeight="1">
      <c r="A156" s="3062">
        <v>4146</v>
      </c>
      <c r="B156" s="3062"/>
      <c r="C156" s="3062" t="s">
        <v>109</v>
      </c>
      <c r="D156" s="3073" t="s">
        <v>2194</v>
      </c>
      <c r="E156" s="1535" t="s">
        <v>2195</v>
      </c>
      <c r="F156" s="1492"/>
      <c r="G156" s="1510"/>
      <c r="H156" s="1492"/>
      <c r="I156" s="1577"/>
      <c r="J156" s="1510"/>
      <c r="K156" s="1507">
        <v>1</v>
      </c>
      <c r="L156" s="1531">
        <v>1</v>
      </c>
      <c r="M156" s="1507"/>
      <c r="N156" s="1505">
        <f>N157</f>
        <v>0</v>
      </c>
      <c r="O156" s="3074">
        <f>IF(Q156&gt;0,N156,"na")</f>
        <v>0</v>
      </c>
      <c r="P156" s="1507">
        <f>P157</f>
        <v>76795782</v>
      </c>
      <c r="Q156" s="1507">
        <f t="shared" ref="Q156:S156" si="69">Q157</f>
        <v>76795782</v>
      </c>
      <c r="R156" s="1507">
        <f t="shared" si="69"/>
        <v>0</v>
      </c>
      <c r="S156" s="1507">
        <f t="shared" si="69"/>
        <v>0</v>
      </c>
      <c r="T156" s="1531">
        <f t="shared" ref="T156:U157" si="70">IF(Q156=0,0,R156/Q156)</f>
        <v>0</v>
      </c>
      <c r="U156" s="1531">
        <f t="shared" si="70"/>
        <v>0</v>
      </c>
      <c r="V156" s="1536"/>
      <c r="W156" s="1536"/>
      <c r="X156" s="1511"/>
      <c r="Y156" s="3068" t="s">
        <v>1964</v>
      </c>
    </row>
    <row r="157" spans="1:25" ht="16.5" customHeight="1">
      <c r="A157" s="3062"/>
      <c r="B157" s="3062"/>
      <c r="C157" s="3062"/>
      <c r="D157" s="3066"/>
      <c r="E157" s="1535" t="s">
        <v>2196</v>
      </c>
      <c r="F157" s="1492"/>
      <c r="G157" s="1510" t="s">
        <v>2193</v>
      </c>
      <c r="H157" s="1492">
        <v>0</v>
      </c>
      <c r="I157" s="1510" t="s">
        <v>2197</v>
      </c>
      <c r="J157" s="1510" t="s">
        <v>2198</v>
      </c>
      <c r="K157" s="1507">
        <v>1</v>
      </c>
      <c r="L157" s="1531">
        <v>1</v>
      </c>
      <c r="M157" s="1506">
        <v>0</v>
      </c>
      <c r="N157" s="1505">
        <v>0</v>
      </c>
      <c r="O157" s="3062"/>
      <c r="P157" s="1507">
        <v>76795782</v>
      </c>
      <c r="Q157" s="1507">
        <v>76795782</v>
      </c>
      <c r="R157" s="1507">
        <v>0</v>
      </c>
      <c r="S157" s="1507">
        <v>0</v>
      </c>
      <c r="T157" s="1531">
        <f t="shared" si="70"/>
        <v>0</v>
      </c>
      <c r="U157" s="1531">
        <f>IF(R157=0,0,S157/R157)</f>
        <v>0</v>
      </c>
      <c r="V157" s="1532"/>
      <c r="W157" s="1532"/>
      <c r="X157" s="1511"/>
      <c r="Y157" s="3069"/>
    </row>
    <row r="158" spans="1:25" ht="135" customHeight="1">
      <c r="A158" s="1492"/>
      <c r="B158" s="1542">
        <v>52020060004</v>
      </c>
      <c r="C158" s="1492" t="s">
        <v>103</v>
      </c>
      <c r="D158" s="1528" t="s">
        <v>2199</v>
      </c>
      <c r="E158" s="1494"/>
      <c r="F158" s="1492"/>
      <c r="G158" s="1493"/>
      <c r="H158" s="1492">
        <f>H162</f>
        <v>0</v>
      </c>
      <c r="I158" s="1510"/>
      <c r="J158" s="1493"/>
      <c r="K158" s="1518"/>
      <c r="L158" s="1519"/>
      <c r="M158" s="1529"/>
      <c r="N158" s="1519"/>
      <c r="O158" s="1530"/>
      <c r="P158" s="1518"/>
      <c r="Q158" s="1518"/>
      <c r="R158" s="1518"/>
      <c r="S158" s="1518"/>
      <c r="T158" s="1531"/>
      <c r="U158" s="1531"/>
      <c r="V158" s="1492"/>
      <c r="W158" s="1492"/>
      <c r="X158" s="1511"/>
      <c r="Y158" s="1502"/>
    </row>
    <row r="159" spans="1:25" ht="16.5" customHeight="1">
      <c r="A159" s="3062">
        <v>4146</v>
      </c>
      <c r="B159" s="3062"/>
      <c r="C159" s="3062" t="s">
        <v>109</v>
      </c>
      <c r="D159" s="3073" t="s">
        <v>2200</v>
      </c>
      <c r="E159" s="1494" t="s">
        <v>2201</v>
      </c>
      <c r="F159" s="1492"/>
      <c r="G159" s="1493"/>
      <c r="H159" s="1492"/>
      <c r="I159" s="1510"/>
      <c r="J159" s="1493"/>
      <c r="K159" s="1507">
        <v>1</v>
      </c>
      <c r="L159" s="1505">
        <v>1</v>
      </c>
      <c r="M159" s="1507"/>
      <c r="N159" s="1505">
        <f>+N160+N161+N162</f>
        <v>0.12000000000000001</v>
      </c>
      <c r="O159" s="3074">
        <f>IF(Q159&gt;0,N159,"na")</f>
        <v>0.12000000000000001</v>
      </c>
      <c r="P159" s="1507">
        <f>+P160+P161+P162</f>
        <v>3409734336</v>
      </c>
      <c r="Q159" s="1507">
        <f t="shared" ref="Q159:S159" si="71">+Q160+Q161+Q162</f>
        <v>3409734336</v>
      </c>
      <c r="R159" s="1507">
        <f t="shared" si="71"/>
        <v>455693000</v>
      </c>
      <c r="S159" s="1507">
        <f t="shared" si="71"/>
        <v>194110000</v>
      </c>
      <c r="T159" s="1531">
        <f t="shared" ref="T159:U166" si="72">IF(Q159=0,0,R159/Q159)</f>
        <v>0.13364472275414246</v>
      </c>
      <c r="U159" s="1531">
        <f t="shared" si="72"/>
        <v>0.42596660470974979</v>
      </c>
      <c r="V159" s="1532"/>
      <c r="W159" s="1532"/>
      <c r="X159" s="1511"/>
      <c r="Y159" s="3068" t="s">
        <v>2108</v>
      </c>
    </row>
    <row r="160" spans="1:25" ht="27" customHeight="1">
      <c r="A160" s="3062"/>
      <c r="B160" s="3062"/>
      <c r="C160" s="3062"/>
      <c r="D160" s="3066"/>
      <c r="E160" s="1494" t="s">
        <v>2202</v>
      </c>
      <c r="F160" s="1492">
        <v>6000</v>
      </c>
      <c r="G160" s="1510" t="s">
        <v>5203</v>
      </c>
      <c r="H160" s="1578">
        <v>889</v>
      </c>
      <c r="I160" s="1503" t="s">
        <v>2203</v>
      </c>
      <c r="J160" s="1510" t="s">
        <v>2176</v>
      </c>
      <c r="K160" s="1507">
        <v>6000</v>
      </c>
      <c r="L160" s="1505">
        <v>0.6</v>
      </c>
      <c r="M160" s="1506">
        <f>71+500+318</f>
        <v>889</v>
      </c>
      <c r="N160" s="1505">
        <v>0.1</v>
      </c>
      <c r="O160" s="3062"/>
      <c r="P160" s="1507">
        <v>1512000000</v>
      </c>
      <c r="Q160" s="1507">
        <v>1512000000</v>
      </c>
      <c r="R160" s="1507">
        <v>435061000</v>
      </c>
      <c r="S160" s="1507">
        <v>183794000</v>
      </c>
      <c r="T160" s="1531">
        <f t="shared" si="72"/>
        <v>0.28773875661375664</v>
      </c>
      <c r="U160" s="1531">
        <f t="shared" si="72"/>
        <v>0.42245570161425638</v>
      </c>
      <c r="V160" s="1532">
        <v>45338</v>
      </c>
      <c r="W160" s="1532">
        <v>45657</v>
      </c>
      <c r="X160" s="1549" t="s">
        <v>2204</v>
      </c>
      <c r="Y160" s="3069"/>
    </row>
    <row r="161" spans="1:25" ht="16.5" customHeight="1">
      <c r="A161" s="3062"/>
      <c r="B161" s="3062"/>
      <c r="C161" s="3062"/>
      <c r="D161" s="3066"/>
      <c r="E161" s="1494" t="s">
        <v>2205</v>
      </c>
      <c r="F161" s="1492"/>
      <c r="G161" s="1492"/>
      <c r="H161" s="1492"/>
      <c r="I161" s="1503" t="s">
        <v>2206</v>
      </c>
      <c r="J161" s="1510" t="s">
        <v>2198</v>
      </c>
      <c r="K161" s="1507">
        <v>4</v>
      </c>
      <c r="L161" s="1505">
        <v>0.2</v>
      </c>
      <c r="M161" s="1506">
        <v>0</v>
      </c>
      <c r="N161" s="1505">
        <v>0.02</v>
      </c>
      <c r="O161" s="3062"/>
      <c r="P161" s="1507">
        <v>412800000</v>
      </c>
      <c r="Q161" s="1507">
        <v>412800000</v>
      </c>
      <c r="R161" s="1507">
        <v>20632000</v>
      </c>
      <c r="S161" s="1507">
        <v>10316000</v>
      </c>
      <c r="T161" s="1531">
        <f t="shared" si="72"/>
        <v>4.9980620155038763E-2</v>
      </c>
      <c r="U161" s="1531">
        <f t="shared" si="72"/>
        <v>0.5</v>
      </c>
      <c r="V161" s="1532">
        <v>45377</v>
      </c>
      <c r="W161" s="1532">
        <v>45657</v>
      </c>
      <c r="X161" s="1511" t="s">
        <v>2207</v>
      </c>
      <c r="Y161" s="3069"/>
    </row>
    <row r="162" spans="1:25" ht="148.5" customHeight="1">
      <c r="A162" s="3062"/>
      <c r="B162" s="3062"/>
      <c r="C162" s="3062"/>
      <c r="D162" s="3066"/>
      <c r="E162" s="1494" t="s">
        <v>2208</v>
      </c>
      <c r="F162" s="1492"/>
      <c r="G162" s="1510" t="s">
        <v>2199</v>
      </c>
      <c r="H162" s="1492">
        <v>0</v>
      </c>
      <c r="I162" s="1503" t="s">
        <v>2209</v>
      </c>
      <c r="J162" s="1510" t="s">
        <v>118</v>
      </c>
      <c r="K162" s="1507">
        <v>1</v>
      </c>
      <c r="L162" s="1505">
        <v>0.2</v>
      </c>
      <c r="M162" s="1506">
        <v>0</v>
      </c>
      <c r="N162" s="1505">
        <v>0</v>
      </c>
      <c r="O162" s="3062"/>
      <c r="P162" s="1507">
        <v>1484934336</v>
      </c>
      <c r="Q162" s="1507">
        <v>1484934336</v>
      </c>
      <c r="R162" s="1507">
        <v>0</v>
      </c>
      <c r="S162" s="1507">
        <v>0</v>
      </c>
      <c r="T162" s="1531">
        <f t="shared" si="72"/>
        <v>0</v>
      </c>
      <c r="U162" s="1531">
        <f t="shared" si="72"/>
        <v>0</v>
      </c>
      <c r="V162" s="1532">
        <v>45377</v>
      </c>
      <c r="W162" s="1532">
        <v>45657</v>
      </c>
      <c r="X162" s="1549"/>
      <c r="Y162" s="3069"/>
    </row>
    <row r="163" spans="1:25" ht="54" customHeight="1">
      <c r="A163" s="1492"/>
      <c r="B163" s="1492">
        <v>52020060005</v>
      </c>
      <c r="C163" s="1492" t="s">
        <v>103</v>
      </c>
      <c r="D163" s="1493" t="s">
        <v>2210</v>
      </c>
      <c r="E163" s="1494"/>
      <c r="F163" s="1492"/>
      <c r="G163" s="1510"/>
      <c r="H163" s="1492">
        <f>H165</f>
        <v>0</v>
      </c>
      <c r="I163" s="1503"/>
      <c r="J163" s="1510"/>
      <c r="K163" s="1507"/>
      <c r="L163" s="1505"/>
      <c r="M163" s="1507"/>
      <c r="N163" s="1505"/>
      <c r="O163" s="1492"/>
      <c r="P163" s="1507"/>
      <c r="Q163" s="1507"/>
      <c r="R163" s="1507"/>
      <c r="S163" s="1507"/>
      <c r="T163" s="1531"/>
      <c r="U163" s="1531"/>
      <c r="V163" s="1532"/>
      <c r="W163" s="1532"/>
      <c r="X163" s="1549"/>
      <c r="Y163" s="1512"/>
    </row>
    <row r="164" spans="1:25" ht="33" customHeight="1">
      <c r="A164" s="3062">
        <v>4146</v>
      </c>
      <c r="B164" s="3062"/>
      <c r="C164" s="3062" t="s">
        <v>109</v>
      </c>
      <c r="D164" s="3073" t="s">
        <v>2211</v>
      </c>
      <c r="E164" s="1494" t="s">
        <v>2212</v>
      </c>
      <c r="F164" s="1492"/>
      <c r="G164" s="1510"/>
      <c r="H164" s="1492"/>
      <c r="I164" s="1503"/>
      <c r="J164" s="1510"/>
      <c r="K164" s="1507">
        <v>2</v>
      </c>
      <c r="L164" s="1505">
        <v>1</v>
      </c>
      <c r="M164" s="1507"/>
      <c r="N164" s="1505">
        <f>+N165+N166</f>
        <v>0.03</v>
      </c>
      <c r="O164" s="3090">
        <f>IF(Q164&gt;0,N164,"na")</f>
        <v>0.03</v>
      </c>
      <c r="P164" s="1507">
        <f>+P165+P166</f>
        <v>548000000</v>
      </c>
      <c r="Q164" s="1507">
        <f>+Q165+Q166</f>
        <v>548000000</v>
      </c>
      <c r="R164" s="1507">
        <f>+R165+R166</f>
        <v>168099000</v>
      </c>
      <c r="S164" s="1507">
        <f>+S165+S166</f>
        <v>68003000</v>
      </c>
      <c r="T164" s="1531">
        <f t="shared" si="72"/>
        <v>0.30675000000000002</v>
      </c>
      <c r="U164" s="1531">
        <f t="shared" si="72"/>
        <v>0.40454137145372665</v>
      </c>
      <c r="V164" s="1532"/>
      <c r="W164" s="1532"/>
      <c r="X164" s="1549"/>
      <c r="Y164" s="3068" t="s">
        <v>2108</v>
      </c>
    </row>
    <row r="165" spans="1:25" ht="38.25" customHeight="1">
      <c r="A165" s="3062"/>
      <c r="B165" s="3062"/>
      <c r="C165" s="3062"/>
      <c r="D165" s="3073"/>
      <c r="E165" s="1494" t="s">
        <v>2213</v>
      </c>
      <c r="F165" s="1492"/>
      <c r="G165" s="1510" t="s">
        <v>2210</v>
      </c>
      <c r="H165" s="1492">
        <v>0</v>
      </c>
      <c r="I165" s="1579" t="s">
        <v>2214</v>
      </c>
      <c r="J165" s="1510" t="s">
        <v>2198</v>
      </c>
      <c r="K165" s="1507">
        <v>1</v>
      </c>
      <c r="L165" s="1505">
        <v>0.6</v>
      </c>
      <c r="M165" s="1506">
        <v>0</v>
      </c>
      <c r="N165" s="1505">
        <v>0.03</v>
      </c>
      <c r="O165" s="3090"/>
      <c r="P165" s="1507">
        <v>344000000</v>
      </c>
      <c r="Q165" s="1507">
        <v>344000000</v>
      </c>
      <c r="R165" s="1507">
        <v>168099000</v>
      </c>
      <c r="S165" s="1507">
        <v>68003000</v>
      </c>
      <c r="T165" s="1531">
        <f t="shared" si="72"/>
        <v>0.48865988372093022</v>
      </c>
      <c r="U165" s="1531">
        <f>IF(R165=0,0,S165/R165)</f>
        <v>0.40454137145372665</v>
      </c>
      <c r="V165" s="1532">
        <v>45338</v>
      </c>
      <c r="W165" s="1532">
        <v>45657</v>
      </c>
      <c r="X165" s="1549" t="s">
        <v>5204</v>
      </c>
      <c r="Y165" s="3068"/>
    </row>
    <row r="166" spans="1:25" ht="16.5" customHeight="1">
      <c r="A166" s="3062"/>
      <c r="B166" s="3062"/>
      <c r="C166" s="3062"/>
      <c r="D166" s="3073"/>
      <c r="E166" s="1494" t="s">
        <v>2215</v>
      </c>
      <c r="F166" s="1492"/>
      <c r="G166" s="1510"/>
      <c r="H166" s="1494"/>
      <c r="I166" s="1579" t="s">
        <v>2216</v>
      </c>
      <c r="J166" s="1510" t="s">
        <v>118</v>
      </c>
      <c r="K166" s="1507">
        <v>1</v>
      </c>
      <c r="L166" s="1505">
        <v>0.4</v>
      </c>
      <c r="M166" s="1506">
        <v>0</v>
      </c>
      <c r="N166" s="1505">
        <v>0</v>
      </c>
      <c r="O166" s="3090"/>
      <c r="P166" s="1507">
        <v>204000000</v>
      </c>
      <c r="Q166" s="1507">
        <v>204000000</v>
      </c>
      <c r="R166" s="1507">
        <v>0</v>
      </c>
      <c r="S166" s="1507">
        <v>0</v>
      </c>
      <c r="T166" s="1531">
        <f t="shared" si="72"/>
        <v>0</v>
      </c>
      <c r="U166" s="1531">
        <f t="shared" si="72"/>
        <v>0</v>
      </c>
      <c r="V166" s="1532"/>
      <c r="W166" s="1532"/>
      <c r="X166" s="1549"/>
      <c r="Y166" s="3068"/>
    </row>
    <row r="167" spans="1:25" ht="189" customHeight="1">
      <c r="A167" s="1492"/>
      <c r="B167" s="1480">
        <v>5202007</v>
      </c>
      <c r="C167" s="1480" t="s">
        <v>102</v>
      </c>
      <c r="D167" s="1523" t="s">
        <v>5205</v>
      </c>
      <c r="E167" s="1494"/>
      <c r="F167" s="1492"/>
      <c r="G167" s="1510"/>
      <c r="H167" s="1494"/>
      <c r="I167" s="1579"/>
      <c r="J167" s="1510"/>
      <c r="K167" s="1507"/>
      <c r="L167" s="1505"/>
      <c r="M167" s="1506"/>
      <c r="N167" s="1505"/>
      <c r="O167" s="1552"/>
      <c r="P167" s="1507"/>
      <c r="Q167" s="1507"/>
      <c r="R167" s="1507"/>
      <c r="S167" s="1507"/>
      <c r="T167" s="1531"/>
      <c r="U167" s="1531"/>
      <c r="V167" s="1532"/>
      <c r="W167" s="1532"/>
      <c r="X167" s="1549"/>
      <c r="Y167" s="1494"/>
    </row>
    <row r="168" spans="1:25" ht="108" customHeight="1">
      <c r="A168" s="1492"/>
      <c r="B168" s="1492">
        <v>52020070001</v>
      </c>
      <c r="C168" s="1492" t="s">
        <v>103</v>
      </c>
      <c r="D168" s="1510" t="s">
        <v>5206</v>
      </c>
      <c r="E168" s="1494"/>
      <c r="F168" s="1492"/>
      <c r="G168" s="1510"/>
      <c r="H168" s="1494"/>
      <c r="I168" s="1579"/>
      <c r="J168" s="1510"/>
      <c r="K168" s="1507"/>
      <c r="L168" s="1505"/>
      <c r="M168" s="1506"/>
      <c r="N168" s="1505"/>
      <c r="O168" s="1552"/>
      <c r="P168" s="1507"/>
      <c r="Q168" s="1507"/>
      <c r="R168" s="1507"/>
      <c r="S168" s="1507"/>
      <c r="T168" s="1531"/>
      <c r="U168" s="1531"/>
      <c r="V168" s="1532"/>
      <c r="W168" s="1532"/>
      <c r="X168" s="1549"/>
      <c r="Y168" s="1494"/>
    </row>
    <row r="169" spans="1:25" ht="16.5" customHeight="1">
      <c r="A169" s="1492"/>
      <c r="B169" s="3070"/>
      <c r="C169" s="3070" t="s">
        <v>109</v>
      </c>
      <c r="D169" s="3083" t="s">
        <v>5207</v>
      </c>
      <c r="E169" s="1494" t="s">
        <v>5208</v>
      </c>
      <c r="F169" s="1492"/>
      <c r="G169" s="1510"/>
      <c r="H169" s="1494"/>
      <c r="I169" s="1579"/>
      <c r="J169" s="1510"/>
      <c r="K169" s="1507"/>
      <c r="L169" s="1505"/>
      <c r="M169" s="1506"/>
      <c r="N169" s="1505">
        <f>+N170+N171</f>
        <v>0.05</v>
      </c>
      <c r="O169" s="3074">
        <f>IF(Q169&gt;0,N169,"na")</f>
        <v>0.05</v>
      </c>
      <c r="P169" s="1507">
        <f>SUM(P170:P171)</f>
        <v>0</v>
      </c>
      <c r="Q169" s="1507">
        <f t="shared" ref="Q169:S169" si="73">SUM(Q170:Q171)</f>
        <v>600000000</v>
      </c>
      <c r="R169" s="1507">
        <f t="shared" si="73"/>
        <v>116284000</v>
      </c>
      <c r="S169" s="1507">
        <f t="shared" si="73"/>
        <v>25898000</v>
      </c>
      <c r="T169" s="1505">
        <f t="shared" ref="T169:U171" si="74">IF(Q169=0,0,R169/Q169)</f>
        <v>0.19380666666666665</v>
      </c>
      <c r="U169" s="1505">
        <f t="shared" si="74"/>
        <v>0.22271335695366518</v>
      </c>
      <c r="V169" s="1532"/>
      <c r="W169" s="1532"/>
      <c r="X169" s="1549"/>
      <c r="Y169" s="3079" t="s">
        <v>1964</v>
      </c>
    </row>
    <row r="170" spans="1:25" ht="16.5" customHeight="1">
      <c r="A170" s="1492"/>
      <c r="B170" s="3071"/>
      <c r="C170" s="3071"/>
      <c r="D170" s="3084"/>
      <c r="E170" s="1494" t="s">
        <v>5209</v>
      </c>
      <c r="F170" s="1492"/>
      <c r="G170" s="1510" t="s">
        <v>5210</v>
      </c>
      <c r="H170" s="1494">
        <v>2000</v>
      </c>
      <c r="I170" s="1579" t="s">
        <v>5211</v>
      </c>
      <c r="J170" s="1510" t="s">
        <v>5212</v>
      </c>
      <c r="K170" s="1507">
        <v>2000</v>
      </c>
      <c r="L170" s="1505">
        <v>0.5</v>
      </c>
      <c r="M170" s="1506">
        <v>231</v>
      </c>
      <c r="N170" s="1505">
        <v>0.05</v>
      </c>
      <c r="O170" s="3062"/>
      <c r="P170" s="1507">
        <v>0</v>
      </c>
      <c r="Q170" s="1507">
        <v>297268000</v>
      </c>
      <c r="R170" s="1507">
        <v>116284000</v>
      </c>
      <c r="S170" s="1507">
        <v>25898000</v>
      </c>
      <c r="T170" s="1531">
        <f t="shared" si="74"/>
        <v>0.3911756394902916</v>
      </c>
      <c r="U170" s="1505">
        <f>IF(R170=0,0,S170/R170)</f>
        <v>0.22271335695366518</v>
      </c>
      <c r="V170" s="1532">
        <v>45377</v>
      </c>
      <c r="W170" s="1532">
        <v>45657</v>
      </c>
      <c r="X170" s="1549" t="s">
        <v>5213</v>
      </c>
      <c r="Y170" s="3089"/>
    </row>
    <row r="171" spans="1:25" ht="16.5" customHeight="1">
      <c r="A171" s="1492"/>
      <c r="B171" s="3072"/>
      <c r="C171" s="3072"/>
      <c r="D171" s="3085"/>
      <c r="E171" s="1494" t="s">
        <v>5214</v>
      </c>
      <c r="F171" s="1492"/>
      <c r="G171" s="1510" t="s">
        <v>5215</v>
      </c>
      <c r="H171" s="1494">
        <v>9</v>
      </c>
      <c r="I171" s="1579" t="s">
        <v>5216</v>
      </c>
      <c r="J171" s="1510" t="s">
        <v>2348</v>
      </c>
      <c r="K171" s="1507">
        <v>9</v>
      </c>
      <c r="L171" s="1505">
        <v>0.5</v>
      </c>
      <c r="M171" s="1506">
        <v>0</v>
      </c>
      <c r="N171" s="1505">
        <v>0</v>
      </c>
      <c r="O171" s="3062"/>
      <c r="P171" s="1507">
        <v>0</v>
      </c>
      <c r="Q171" s="1507">
        <v>302732000</v>
      </c>
      <c r="R171" s="1507">
        <v>0</v>
      </c>
      <c r="S171" s="1507">
        <v>0</v>
      </c>
      <c r="T171" s="1531">
        <f t="shared" si="74"/>
        <v>0</v>
      </c>
      <c r="U171" s="1505">
        <f>IF(R171=0,0,S171/R171)</f>
        <v>0</v>
      </c>
      <c r="V171" s="1532"/>
      <c r="W171" s="1532"/>
      <c r="X171" s="1549"/>
      <c r="Y171" s="3080"/>
    </row>
    <row r="172" spans="1:25" ht="54" customHeight="1">
      <c r="A172" s="1480"/>
      <c r="B172" s="1480">
        <v>5202008</v>
      </c>
      <c r="C172" s="1480" t="s">
        <v>102</v>
      </c>
      <c r="D172" s="1523" t="s">
        <v>2217</v>
      </c>
      <c r="E172" s="1482"/>
      <c r="F172" s="1480"/>
      <c r="G172" s="1481"/>
      <c r="H172" s="1480"/>
      <c r="I172" s="1523"/>
      <c r="J172" s="1481"/>
      <c r="K172" s="1518"/>
      <c r="L172" s="1519"/>
      <c r="M172" s="1524"/>
      <c r="N172" s="1519"/>
      <c r="O172" s="1525"/>
      <c r="P172" s="1518"/>
      <c r="Q172" s="1518"/>
      <c r="R172" s="1518"/>
      <c r="S172" s="1518"/>
      <c r="T172" s="1519"/>
      <c r="U172" s="1519"/>
      <c r="V172" s="1480"/>
      <c r="W172" s="1480"/>
      <c r="X172" s="1527"/>
      <c r="Y172" s="1488"/>
    </row>
    <row r="173" spans="1:25" ht="54" customHeight="1">
      <c r="A173" s="1492"/>
      <c r="B173" s="1542">
        <v>52020080001</v>
      </c>
      <c r="C173" s="1492" t="s">
        <v>103</v>
      </c>
      <c r="D173" s="1528" t="s">
        <v>2218</v>
      </c>
      <c r="E173" s="1494"/>
      <c r="F173" s="1492"/>
      <c r="G173" s="1493"/>
      <c r="H173" s="1492">
        <f>H175</f>
        <v>382</v>
      </c>
      <c r="I173" s="1510"/>
      <c r="J173" s="1493"/>
      <c r="K173" s="1518"/>
      <c r="L173" s="1519"/>
      <c r="M173" s="1529"/>
      <c r="N173" s="1519"/>
      <c r="O173" s="1530"/>
      <c r="P173" s="1518"/>
      <c r="Q173" s="1518"/>
      <c r="R173" s="1518"/>
      <c r="S173" s="1518"/>
      <c r="T173" s="1531"/>
      <c r="U173" s="1531"/>
      <c r="V173" s="1492"/>
      <c r="W173" s="1492"/>
      <c r="X173" s="1511"/>
      <c r="Y173" s="1502"/>
    </row>
    <row r="174" spans="1:25" ht="25.5" customHeight="1">
      <c r="A174" s="3062">
        <v>4146</v>
      </c>
      <c r="B174" s="3062"/>
      <c r="C174" s="3062" t="s">
        <v>109</v>
      </c>
      <c r="D174" s="3073" t="s">
        <v>2219</v>
      </c>
      <c r="E174" s="1494" t="s">
        <v>2220</v>
      </c>
      <c r="F174" s="1492"/>
      <c r="G174" s="1493"/>
      <c r="H174" s="1492"/>
      <c r="I174" s="1510"/>
      <c r="J174" s="1493"/>
      <c r="K174" s="1507">
        <v>400</v>
      </c>
      <c r="L174" s="1505">
        <v>1</v>
      </c>
      <c r="M174" s="1529"/>
      <c r="N174" s="1505">
        <f>+N175+N176</f>
        <v>0.6</v>
      </c>
      <c r="O174" s="3074">
        <f>IF(Q174&gt;0,N174,"na")</f>
        <v>0.6</v>
      </c>
      <c r="P174" s="1507">
        <f>+P175+P176</f>
        <v>600104000</v>
      </c>
      <c r="Q174" s="1507">
        <f t="shared" ref="Q174:S174" si="75">+Q175+Q176</f>
        <v>731529989</v>
      </c>
      <c r="R174" s="1507">
        <f t="shared" si="75"/>
        <v>437284500</v>
      </c>
      <c r="S174" s="1507">
        <f t="shared" si="75"/>
        <v>158873500</v>
      </c>
      <c r="T174" s="1531">
        <f t="shared" ref="T174:U176" si="76">IF(Q174=0,0,R174/Q174)</f>
        <v>0.59776701786042563</v>
      </c>
      <c r="U174" s="1531">
        <f t="shared" si="76"/>
        <v>0.36331838882924045</v>
      </c>
      <c r="V174" s="1532"/>
      <c r="W174" s="1532"/>
      <c r="X174" s="1511"/>
      <c r="Y174" s="3068" t="s">
        <v>2108</v>
      </c>
    </row>
    <row r="175" spans="1:25" ht="16.5" customHeight="1">
      <c r="A175" s="3062"/>
      <c r="B175" s="3062"/>
      <c r="C175" s="3062"/>
      <c r="D175" s="3066"/>
      <c r="E175" s="1494" t="s">
        <v>2221</v>
      </c>
      <c r="F175" s="1492"/>
      <c r="G175" s="1510" t="s">
        <v>2218</v>
      </c>
      <c r="H175" s="1492">
        <v>382</v>
      </c>
      <c r="I175" s="1510" t="s">
        <v>5217</v>
      </c>
      <c r="J175" s="1510" t="s">
        <v>2176</v>
      </c>
      <c r="K175" s="1547">
        <v>450</v>
      </c>
      <c r="L175" s="1548">
        <v>0.6</v>
      </c>
      <c r="M175" s="1506">
        <f>21+151+210</f>
        <v>382</v>
      </c>
      <c r="N175" s="1505">
        <v>0.5</v>
      </c>
      <c r="O175" s="3062"/>
      <c r="P175" s="1507">
        <v>507704000</v>
      </c>
      <c r="Q175" s="1507">
        <v>639129989</v>
      </c>
      <c r="R175" s="1507">
        <v>360284500</v>
      </c>
      <c r="S175" s="1507">
        <v>135773500</v>
      </c>
      <c r="T175" s="1531">
        <f>IF(Q175=0,0,R175/Q175)</f>
        <v>0.56371083535559152</v>
      </c>
      <c r="U175" s="1531">
        <f t="shared" si="76"/>
        <v>0.37685079430283569</v>
      </c>
      <c r="V175" s="1532">
        <v>45309</v>
      </c>
      <c r="W175" s="1532">
        <v>45657</v>
      </c>
      <c r="X175" s="3079" t="s">
        <v>5218</v>
      </c>
      <c r="Y175" s="3069"/>
    </row>
    <row r="176" spans="1:25" ht="135" customHeight="1">
      <c r="A176" s="3062"/>
      <c r="B176" s="3062"/>
      <c r="C176" s="3062"/>
      <c r="D176" s="3066"/>
      <c r="E176" s="1494" t="s">
        <v>2222</v>
      </c>
      <c r="F176" s="1492"/>
      <c r="G176" s="1510"/>
      <c r="H176" s="1492"/>
      <c r="I176" s="1510" t="s">
        <v>2223</v>
      </c>
      <c r="J176" s="1510" t="s">
        <v>2179</v>
      </c>
      <c r="K176" s="1547">
        <v>1</v>
      </c>
      <c r="L176" s="1548">
        <v>0.4</v>
      </c>
      <c r="M176" s="1506">
        <v>0</v>
      </c>
      <c r="N176" s="1505">
        <v>0.1</v>
      </c>
      <c r="O176" s="3062"/>
      <c r="P176" s="1507">
        <v>92400000</v>
      </c>
      <c r="Q176" s="1507">
        <v>92400000</v>
      </c>
      <c r="R176" s="1507">
        <v>77000000</v>
      </c>
      <c r="S176" s="1507">
        <v>23100000</v>
      </c>
      <c r="T176" s="1531">
        <f t="shared" si="76"/>
        <v>0.83333333333333337</v>
      </c>
      <c r="U176" s="1531">
        <f t="shared" si="76"/>
        <v>0.3</v>
      </c>
      <c r="V176" s="1532">
        <v>45309</v>
      </c>
      <c r="W176" s="1532">
        <v>45657</v>
      </c>
      <c r="X176" s="3080"/>
      <c r="Y176" s="3069"/>
    </row>
    <row r="177" spans="1:25" ht="81" customHeight="1">
      <c r="A177" s="1492"/>
      <c r="B177" s="1492">
        <v>52020080002</v>
      </c>
      <c r="C177" s="1492" t="s">
        <v>103</v>
      </c>
      <c r="D177" s="1510" t="s">
        <v>2224</v>
      </c>
      <c r="E177" s="1494"/>
      <c r="F177" s="1492"/>
      <c r="G177" s="1510"/>
      <c r="H177" s="1492">
        <f>H179</f>
        <v>3</v>
      </c>
      <c r="I177" s="1510"/>
      <c r="J177" s="1510"/>
      <c r="K177" s="1547"/>
      <c r="L177" s="1548"/>
      <c r="M177" s="1529"/>
      <c r="N177" s="1505"/>
      <c r="O177" s="1492"/>
      <c r="P177" s="1507"/>
      <c r="Q177" s="1507"/>
      <c r="R177" s="1507"/>
      <c r="S177" s="1507"/>
      <c r="T177" s="1531"/>
      <c r="U177" s="1531"/>
      <c r="V177" s="1532"/>
      <c r="W177" s="1536"/>
      <c r="X177" s="1549"/>
      <c r="Y177" s="1512"/>
    </row>
    <row r="178" spans="1:25" ht="16.5" customHeight="1">
      <c r="A178" s="3070">
        <v>4146</v>
      </c>
      <c r="B178" s="3070"/>
      <c r="C178" s="3070" t="s">
        <v>109</v>
      </c>
      <c r="D178" s="3083" t="s">
        <v>2225</v>
      </c>
      <c r="E178" s="1494" t="s">
        <v>2226</v>
      </c>
      <c r="F178" s="1492"/>
      <c r="G178" s="1510"/>
      <c r="H178" s="1492"/>
      <c r="I178" s="1510"/>
      <c r="J178" s="1510"/>
      <c r="K178" s="1547">
        <v>5</v>
      </c>
      <c r="L178" s="1548">
        <v>1</v>
      </c>
      <c r="M178" s="1529"/>
      <c r="N178" s="1505">
        <f>N179+N180</f>
        <v>0.42</v>
      </c>
      <c r="O178" s="3086">
        <f>IF(Q178&gt;0,N178,"na")</f>
        <v>0.42</v>
      </c>
      <c r="P178" s="1507">
        <f>P179+P180</f>
        <v>149896000</v>
      </c>
      <c r="Q178" s="1507">
        <f t="shared" ref="Q178:S178" si="77">Q179+Q180</f>
        <v>294752000</v>
      </c>
      <c r="R178" s="1507">
        <f t="shared" si="77"/>
        <v>31859000</v>
      </c>
      <c r="S178" s="1507">
        <f t="shared" si="77"/>
        <v>14107000</v>
      </c>
      <c r="T178" s="1531">
        <f t="shared" ref="T178:U180" si="78">IF(Q178=0,0,R178/Q178)</f>
        <v>0.1080874769297579</v>
      </c>
      <c r="U178" s="1531">
        <f t="shared" si="78"/>
        <v>0.44279481465206066</v>
      </c>
      <c r="V178" s="1532"/>
      <c r="W178" s="1536"/>
      <c r="X178" s="1549"/>
      <c r="Y178" s="3079" t="s">
        <v>2108</v>
      </c>
    </row>
    <row r="179" spans="1:25" ht="135" customHeight="1">
      <c r="A179" s="3071"/>
      <c r="B179" s="3071"/>
      <c r="C179" s="3071"/>
      <c r="D179" s="3084"/>
      <c r="E179" s="1494" t="s">
        <v>2227</v>
      </c>
      <c r="F179" s="1492"/>
      <c r="G179" s="1510" t="s">
        <v>2224</v>
      </c>
      <c r="H179" s="1492">
        <v>3</v>
      </c>
      <c r="I179" s="1510" t="s">
        <v>2228</v>
      </c>
      <c r="J179" s="1510" t="s">
        <v>2229</v>
      </c>
      <c r="K179" s="1547">
        <v>5</v>
      </c>
      <c r="L179" s="1548">
        <v>0.7</v>
      </c>
      <c r="M179" s="1506">
        <f>1+2</f>
        <v>3</v>
      </c>
      <c r="N179" s="1505">
        <v>0.42</v>
      </c>
      <c r="O179" s="3087"/>
      <c r="P179" s="1507">
        <v>107896000</v>
      </c>
      <c r="Q179" s="1507">
        <v>175400000</v>
      </c>
      <c r="R179" s="1507">
        <v>31859000</v>
      </c>
      <c r="S179" s="1507">
        <v>14107000</v>
      </c>
      <c r="T179" s="1531">
        <f>IF(Q179=0,0,R179/Q179)</f>
        <v>0.18163625997719499</v>
      </c>
      <c r="U179" s="1531">
        <f t="shared" si="78"/>
        <v>0.44279481465206066</v>
      </c>
      <c r="V179" s="1532">
        <v>45377</v>
      </c>
      <c r="W179" s="1532">
        <v>45657</v>
      </c>
      <c r="X179" s="1549" t="s">
        <v>5219</v>
      </c>
      <c r="Y179" s="3089"/>
    </row>
    <row r="180" spans="1:25" ht="40.5" customHeight="1">
      <c r="A180" s="3072"/>
      <c r="B180" s="3072"/>
      <c r="C180" s="3072"/>
      <c r="D180" s="3085"/>
      <c r="E180" s="1494" t="s">
        <v>2230</v>
      </c>
      <c r="F180" s="1492"/>
      <c r="G180" s="1510"/>
      <c r="H180" s="1492"/>
      <c r="I180" s="1510" t="s">
        <v>2231</v>
      </c>
      <c r="J180" s="1510" t="s">
        <v>106</v>
      </c>
      <c r="K180" s="1547">
        <v>100</v>
      </c>
      <c r="L180" s="1548">
        <v>0.3</v>
      </c>
      <c r="M180" s="1506">
        <v>0</v>
      </c>
      <c r="N180" s="1505">
        <v>0</v>
      </c>
      <c r="O180" s="3088"/>
      <c r="P180" s="1507">
        <v>42000000</v>
      </c>
      <c r="Q180" s="1507">
        <v>119352000</v>
      </c>
      <c r="R180" s="1507">
        <v>0</v>
      </c>
      <c r="S180" s="1507">
        <v>0</v>
      </c>
      <c r="T180" s="1531">
        <f t="shared" ref="T180" si="79">IF(Q180=0,0,R180/Q180)</f>
        <v>0</v>
      </c>
      <c r="U180" s="1531">
        <f t="shared" si="78"/>
        <v>0</v>
      </c>
      <c r="V180" s="1532"/>
      <c r="W180" s="1532"/>
      <c r="X180" s="1549"/>
      <c r="Y180" s="3080"/>
    </row>
    <row r="181" spans="1:25" ht="25.5" customHeight="1">
      <c r="A181" s="1492"/>
      <c r="B181" s="1492">
        <v>52020080003</v>
      </c>
      <c r="C181" s="1492" t="s">
        <v>103</v>
      </c>
      <c r="D181" s="1510" t="s">
        <v>2232</v>
      </c>
      <c r="E181" s="1494"/>
      <c r="F181" s="1492"/>
      <c r="G181" s="1510"/>
      <c r="H181" s="1492">
        <f>H183</f>
        <v>0</v>
      </c>
      <c r="I181" s="1510"/>
      <c r="J181" s="1510"/>
      <c r="K181" s="1547"/>
      <c r="L181" s="1548"/>
      <c r="M181" s="1529"/>
      <c r="N181" s="1505"/>
      <c r="O181" s="1492"/>
      <c r="P181" s="1507"/>
      <c r="Q181" s="1507"/>
      <c r="R181" s="1507"/>
      <c r="S181" s="1507"/>
      <c r="T181" s="1531"/>
      <c r="U181" s="1531"/>
      <c r="V181" s="1532"/>
      <c r="W181" s="1536"/>
      <c r="X181" s="1549"/>
      <c r="Y181" s="1494"/>
    </row>
    <row r="182" spans="1:25" ht="16.5" customHeight="1">
      <c r="A182" s="3070">
        <v>4146</v>
      </c>
      <c r="B182" s="3070"/>
      <c r="C182" s="3070" t="s">
        <v>109</v>
      </c>
      <c r="D182" s="3083" t="s">
        <v>2233</v>
      </c>
      <c r="E182" s="1494" t="s">
        <v>2234</v>
      </c>
      <c r="F182" s="1492"/>
      <c r="G182" s="1510"/>
      <c r="H182" s="1492"/>
      <c r="I182" s="1510"/>
      <c r="J182" s="1510"/>
      <c r="K182" s="1547">
        <v>1</v>
      </c>
      <c r="L182" s="1548">
        <v>1</v>
      </c>
      <c r="M182" s="1529"/>
      <c r="N182" s="1505">
        <f>+N183+N184</f>
        <v>0</v>
      </c>
      <c r="O182" s="3086">
        <f>IF(Q182&gt;0,N182,"na")</f>
        <v>0</v>
      </c>
      <c r="P182" s="1507">
        <f>+P183+P184</f>
        <v>500000000</v>
      </c>
      <c r="Q182" s="1507">
        <f t="shared" ref="Q182:S182" si="80">+Q183+Q184</f>
        <v>500000000</v>
      </c>
      <c r="R182" s="1507">
        <f t="shared" si="80"/>
        <v>288203330</v>
      </c>
      <c r="S182" s="1507">
        <f t="shared" si="80"/>
        <v>15436000</v>
      </c>
      <c r="T182" s="1531">
        <f t="shared" ref="T182:U184" si="81">IF(Q182=0,0,R182/Q182)</f>
        <v>0.57640665999999996</v>
      </c>
      <c r="U182" s="1531">
        <f t="shared" si="81"/>
        <v>5.3559408907593122E-2</v>
      </c>
      <c r="V182" s="1532"/>
      <c r="W182" s="1536"/>
      <c r="X182" s="1549"/>
      <c r="Y182" s="3079" t="s">
        <v>2108</v>
      </c>
    </row>
    <row r="183" spans="1:25" ht="135" customHeight="1">
      <c r="A183" s="3071"/>
      <c r="B183" s="3071"/>
      <c r="C183" s="3071"/>
      <c r="D183" s="3084"/>
      <c r="E183" s="1494" t="s">
        <v>2235</v>
      </c>
      <c r="F183" s="1492"/>
      <c r="G183" s="1510" t="s">
        <v>2232</v>
      </c>
      <c r="H183" s="1492">
        <v>0</v>
      </c>
      <c r="I183" s="1510" t="s">
        <v>2236</v>
      </c>
      <c r="J183" s="1510" t="s">
        <v>106</v>
      </c>
      <c r="K183" s="1547">
        <v>40</v>
      </c>
      <c r="L183" s="1548">
        <v>0.8</v>
      </c>
      <c r="M183" s="1506">
        <v>0</v>
      </c>
      <c r="N183" s="1505">
        <v>0</v>
      </c>
      <c r="O183" s="3087"/>
      <c r="P183" s="1507">
        <v>159559996</v>
      </c>
      <c r="Q183" s="1507">
        <v>159559996</v>
      </c>
      <c r="R183" s="1507">
        <v>97761000</v>
      </c>
      <c r="S183" s="1507">
        <v>0</v>
      </c>
      <c r="T183" s="1531">
        <f t="shared" si="81"/>
        <v>0.61269116602384477</v>
      </c>
      <c r="U183" s="1531">
        <f t="shared" si="81"/>
        <v>0</v>
      </c>
      <c r="V183" s="1532">
        <v>45377</v>
      </c>
      <c r="W183" s="1532">
        <v>45657</v>
      </c>
      <c r="X183" s="1549" t="s">
        <v>5220</v>
      </c>
      <c r="Y183" s="3089"/>
    </row>
    <row r="184" spans="1:25" ht="16.5" customHeight="1">
      <c r="A184" s="3072"/>
      <c r="B184" s="3072"/>
      <c r="C184" s="3072"/>
      <c r="D184" s="3085"/>
      <c r="E184" s="1494" t="s">
        <v>2237</v>
      </c>
      <c r="F184" s="1492"/>
      <c r="G184" s="1510"/>
      <c r="H184" s="1492"/>
      <c r="I184" s="1510" t="s">
        <v>2238</v>
      </c>
      <c r="J184" s="1510" t="s">
        <v>2239</v>
      </c>
      <c r="K184" s="1547">
        <v>1</v>
      </c>
      <c r="L184" s="1548">
        <v>0.2</v>
      </c>
      <c r="M184" s="1506">
        <v>0</v>
      </c>
      <c r="N184" s="1505">
        <v>0</v>
      </c>
      <c r="O184" s="3088"/>
      <c r="P184" s="1507">
        <v>340440004</v>
      </c>
      <c r="Q184" s="1507">
        <v>340440004</v>
      </c>
      <c r="R184" s="1507">
        <v>190442330</v>
      </c>
      <c r="S184" s="1507">
        <v>15436000</v>
      </c>
      <c r="T184" s="1531">
        <f t="shared" si="81"/>
        <v>0.55940056327810406</v>
      </c>
      <c r="U184" s="1531">
        <f t="shared" si="81"/>
        <v>8.1053408661824297E-2</v>
      </c>
      <c r="V184" s="1532">
        <v>45377</v>
      </c>
      <c r="W184" s="1532">
        <v>45657</v>
      </c>
      <c r="X184" s="1549" t="s">
        <v>5221</v>
      </c>
      <c r="Y184" s="3080"/>
    </row>
    <row r="185" spans="1:25" ht="67.5" customHeight="1">
      <c r="A185" s="1540"/>
      <c r="B185" s="1480">
        <v>5202009</v>
      </c>
      <c r="C185" s="1480" t="s">
        <v>102</v>
      </c>
      <c r="D185" s="1523" t="s">
        <v>3670</v>
      </c>
      <c r="E185" s="1494"/>
      <c r="F185" s="1492"/>
      <c r="G185" s="1510"/>
      <c r="H185" s="1492"/>
      <c r="I185" s="1510"/>
      <c r="J185" s="1510"/>
      <c r="K185" s="1547"/>
      <c r="L185" s="1548"/>
      <c r="M185" s="1506"/>
      <c r="N185" s="1505"/>
      <c r="O185" s="1573"/>
      <c r="P185" s="1573"/>
      <c r="Q185" s="1573"/>
      <c r="R185" s="1573"/>
      <c r="S185" s="1573"/>
      <c r="T185" s="1531"/>
      <c r="U185" s="1531"/>
      <c r="V185" s="1532"/>
      <c r="W185" s="1536"/>
      <c r="X185" s="1549"/>
      <c r="Y185" s="1541"/>
    </row>
    <row r="186" spans="1:25" ht="135" customHeight="1">
      <c r="A186" s="1540"/>
      <c r="B186" s="1540">
        <v>52020090001</v>
      </c>
      <c r="C186" s="1540" t="s">
        <v>103</v>
      </c>
      <c r="D186" s="1562" t="s">
        <v>5222</v>
      </c>
      <c r="E186" s="1494"/>
      <c r="F186" s="1492"/>
      <c r="G186" s="1510"/>
      <c r="H186" s="1492"/>
      <c r="I186" s="1510"/>
      <c r="J186" s="1510"/>
      <c r="K186" s="1547"/>
      <c r="L186" s="1548"/>
      <c r="M186" s="1506"/>
      <c r="N186" s="1505"/>
      <c r="O186" s="1573"/>
      <c r="P186" s="1573"/>
      <c r="Q186" s="1573"/>
      <c r="R186" s="1573"/>
      <c r="S186" s="1573"/>
      <c r="T186" s="1531"/>
      <c r="U186" s="1531"/>
      <c r="V186" s="1532"/>
      <c r="W186" s="1536"/>
      <c r="X186" s="1549"/>
      <c r="Y186" s="1541"/>
    </row>
    <row r="187" spans="1:25" ht="38.25" customHeight="1">
      <c r="A187" s="1540"/>
      <c r="B187" s="3070"/>
      <c r="C187" s="3070" t="s">
        <v>109</v>
      </c>
      <c r="D187" s="3079" t="s">
        <v>5223</v>
      </c>
      <c r="E187" s="1494" t="s">
        <v>5224</v>
      </c>
      <c r="F187" s="1492"/>
      <c r="G187" s="1510"/>
      <c r="H187" s="1492"/>
      <c r="I187" s="1510"/>
      <c r="J187" s="1510"/>
      <c r="K187" s="1547"/>
      <c r="L187" s="1548"/>
      <c r="M187" s="1506"/>
      <c r="N187" s="1505"/>
      <c r="O187" s="3086">
        <f>IF(Q187&gt;0,N187,"na")</f>
        <v>0</v>
      </c>
      <c r="P187" s="1507">
        <f>SUM(P188:P189)</f>
        <v>0</v>
      </c>
      <c r="Q187" s="1507">
        <f t="shared" ref="Q187:S187" si="82">SUM(Q188:Q189)</f>
        <v>500000000</v>
      </c>
      <c r="R187" s="1507">
        <f t="shared" si="82"/>
        <v>97498000</v>
      </c>
      <c r="S187" s="1507">
        <f t="shared" si="82"/>
        <v>14458000</v>
      </c>
      <c r="T187" s="1505">
        <f t="shared" ref="T187:U188" si="83">IF(Q187=0,0,R187/Q187)</f>
        <v>0.194996</v>
      </c>
      <c r="U187" s="1505">
        <f t="shared" si="83"/>
        <v>0.14829022133787359</v>
      </c>
      <c r="V187" s="1532">
        <v>45377</v>
      </c>
      <c r="W187" s="1532">
        <v>45657</v>
      </c>
      <c r="X187" s="1549"/>
      <c r="Y187" s="3079" t="s">
        <v>1964</v>
      </c>
    </row>
    <row r="188" spans="1:25" ht="16.5" customHeight="1">
      <c r="A188" s="1540"/>
      <c r="B188" s="3071"/>
      <c r="C188" s="3071"/>
      <c r="D188" s="3089"/>
      <c r="E188" s="1494" t="s">
        <v>5225</v>
      </c>
      <c r="F188" s="1492"/>
      <c r="G188" s="3106" t="s">
        <v>5226</v>
      </c>
      <c r="H188" s="1492">
        <v>35000</v>
      </c>
      <c r="I188" s="1510" t="s">
        <v>5227</v>
      </c>
      <c r="J188" s="1510" t="s">
        <v>5228</v>
      </c>
      <c r="K188" s="1547">
        <v>35000</v>
      </c>
      <c r="L188" s="1548">
        <v>0.5</v>
      </c>
      <c r="M188" s="1506">
        <v>11116</v>
      </c>
      <c r="N188" s="1505">
        <v>0.15</v>
      </c>
      <c r="O188" s="3087"/>
      <c r="P188" s="1507">
        <v>0</v>
      </c>
      <c r="Q188" s="1507">
        <v>247445200</v>
      </c>
      <c r="R188" s="1507">
        <v>97498000</v>
      </c>
      <c r="S188" s="1507">
        <v>14458000</v>
      </c>
      <c r="T188" s="1531">
        <f t="shared" si="83"/>
        <v>0.39401855441123934</v>
      </c>
      <c r="U188" s="1505">
        <f>IF(R188=0,0,S188/R188)</f>
        <v>0.14829022133787359</v>
      </c>
      <c r="V188" s="1532">
        <v>45377</v>
      </c>
      <c r="W188" s="1532">
        <v>45657</v>
      </c>
      <c r="X188" s="1549" t="s">
        <v>5229</v>
      </c>
      <c r="Y188" s="3089"/>
    </row>
    <row r="189" spans="1:25" ht="162" customHeight="1">
      <c r="A189" s="1540"/>
      <c r="B189" s="3072"/>
      <c r="C189" s="3072"/>
      <c r="D189" s="3080"/>
      <c r="E189" s="1494" t="s">
        <v>5230</v>
      </c>
      <c r="F189" s="1492"/>
      <c r="G189" s="3107"/>
      <c r="H189" s="1492"/>
      <c r="I189" s="1510" t="s">
        <v>5231</v>
      </c>
      <c r="J189" s="1510" t="s">
        <v>5232</v>
      </c>
      <c r="K189" s="1547">
        <v>100</v>
      </c>
      <c r="L189" s="1548">
        <v>0.5</v>
      </c>
      <c r="M189" s="1506"/>
      <c r="N189" s="1505">
        <v>0</v>
      </c>
      <c r="O189" s="3088"/>
      <c r="P189" s="1507">
        <v>0</v>
      </c>
      <c r="Q189" s="1507">
        <v>252554800</v>
      </c>
      <c r="R189" s="1507"/>
      <c r="S189" s="1507"/>
      <c r="T189" s="1531"/>
      <c r="U189" s="1505"/>
      <c r="V189" s="1532"/>
      <c r="W189" s="1536"/>
      <c r="X189" s="1549"/>
      <c r="Y189" s="3080"/>
    </row>
    <row r="190" spans="1:25" ht="16.5" customHeight="1">
      <c r="A190" s="1540"/>
      <c r="B190" s="1540">
        <v>52020090002</v>
      </c>
      <c r="C190" s="1540" t="s">
        <v>103</v>
      </c>
      <c r="D190" s="1562" t="s">
        <v>5233</v>
      </c>
      <c r="E190" s="1494"/>
      <c r="F190" s="1492"/>
      <c r="G190" s="1510"/>
      <c r="H190" s="1492"/>
      <c r="I190" s="1510"/>
      <c r="J190" s="1510"/>
      <c r="K190" s="1547"/>
      <c r="L190" s="1548"/>
      <c r="M190" s="1506"/>
      <c r="N190" s="1505"/>
      <c r="O190" s="1573"/>
      <c r="P190" s="1507"/>
      <c r="Q190" s="1507"/>
      <c r="R190" s="1507"/>
      <c r="S190" s="1507"/>
      <c r="T190" s="1531"/>
      <c r="U190" s="1531"/>
      <c r="V190" s="1532"/>
      <c r="W190" s="1536"/>
      <c r="X190" s="1549"/>
      <c r="Y190" s="1541"/>
    </row>
    <row r="191" spans="1:25" ht="16.5" customHeight="1">
      <c r="A191" s="1540"/>
      <c r="B191" s="3070"/>
      <c r="C191" s="3070" t="s">
        <v>109</v>
      </c>
      <c r="D191" s="3079" t="s">
        <v>5234</v>
      </c>
      <c r="E191" s="1494" t="s">
        <v>5235</v>
      </c>
      <c r="F191" s="1492"/>
      <c r="G191" s="1510"/>
      <c r="H191" s="1492"/>
      <c r="I191" s="1510"/>
      <c r="J191" s="1510"/>
      <c r="K191" s="1547"/>
      <c r="L191" s="1548"/>
      <c r="M191" s="1506"/>
      <c r="N191" s="1505">
        <f>+N192+N193</f>
        <v>0.25</v>
      </c>
      <c r="O191" s="3086">
        <f>IF(Q191&gt;0,N191,"na")</f>
        <v>0.25</v>
      </c>
      <c r="P191" s="1507">
        <f>SUM(P192:P193)</f>
        <v>0</v>
      </c>
      <c r="Q191" s="1507">
        <f t="shared" ref="Q191:S191" si="84">SUM(Q192:Q193)</f>
        <v>410000000</v>
      </c>
      <c r="R191" s="1507">
        <f t="shared" si="84"/>
        <v>139476000</v>
      </c>
      <c r="S191" s="1507">
        <f t="shared" si="84"/>
        <v>41334000</v>
      </c>
      <c r="T191" s="1505">
        <f t="shared" ref="T191:U193" si="85">IF(Q191=0,0,R191/Q191)</f>
        <v>0.34018536585365855</v>
      </c>
      <c r="U191" s="1505">
        <f t="shared" si="85"/>
        <v>0.29635206056956037</v>
      </c>
      <c r="V191" s="1532"/>
      <c r="W191" s="1536"/>
      <c r="X191" s="1549"/>
      <c r="Y191" s="3079" t="s">
        <v>1964</v>
      </c>
    </row>
    <row r="192" spans="1:25" ht="175.5" customHeight="1">
      <c r="A192" s="1540"/>
      <c r="B192" s="3071"/>
      <c r="C192" s="3071"/>
      <c r="D192" s="3089"/>
      <c r="E192" s="1494" t="s">
        <v>5236</v>
      </c>
      <c r="F192" s="1492"/>
      <c r="G192" s="3089" t="s">
        <v>5237</v>
      </c>
      <c r="H192" s="1534">
        <v>25345</v>
      </c>
      <c r="I192" s="1510" t="s">
        <v>5238</v>
      </c>
      <c r="J192" s="1580" t="s">
        <v>5239</v>
      </c>
      <c r="K192" s="1547">
        <v>25345</v>
      </c>
      <c r="L192" s="1548">
        <v>0.5</v>
      </c>
      <c r="M192" s="1506">
        <v>20834</v>
      </c>
      <c r="N192" s="1505">
        <v>0.2</v>
      </c>
      <c r="O192" s="3087"/>
      <c r="P192" s="1507">
        <v>0</v>
      </c>
      <c r="Q192" s="1507">
        <v>220248000</v>
      </c>
      <c r="R192" s="1507">
        <v>119796000</v>
      </c>
      <c r="S192" s="1507">
        <v>34774000</v>
      </c>
      <c r="T192" s="1531">
        <f t="shared" si="85"/>
        <v>0.5439141331589844</v>
      </c>
      <c r="U192" s="1505">
        <f>IF(R192=0,0,S192/R192)</f>
        <v>0.2902768038999633</v>
      </c>
      <c r="V192" s="1532" t="s">
        <v>5240</v>
      </c>
      <c r="W192" s="1532">
        <v>45657</v>
      </c>
      <c r="X192" s="1549" t="s">
        <v>5241</v>
      </c>
      <c r="Y192" s="3089"/>
    </row>
    <row r="193" spans="1:25" ht="108" customHeight="1">
      <c r="A193" s="1540"/>
      <c r="B193" s="3072"/>
      <c r="C193" s="3072"/>
      <c r="D193" s="3080"/>
      <c r="E193" s="1494" t="s">
        <v>5242</v>
      </c>
      <c r="F193" s="1494"/>
      <c r="G193" s="3089"/>
      <c r="H193" s="1538">
        <v>6</v>
      </c>
      <c r="I193" s="1494" t="s">
        <v>5243</v>
      </c>
      <c r="J193" s="1581" t="s">
        <v>5232</v>
      </c>
      <c r="K193" s="1494">
        <v>6</v>
      </c>
      <c r="L193" s="1548">
        <v>0.5</v>
      </c>
      <c r="M193" s="1582">
        <v>0</v>
      </c>
      <c r="N193" s="1505">
        <v>0.05</v>
      </c>
      <c r="O193" s="3088"/>
      <c r="P193" s="1507">
        <v>0</v>
      </c>
      <c r="Q193" s="1507">
        <v>189752000</v>
      </c>
      <c r="R193" s="1507">
        <v>19680000</v>
      </c>
      <c r="S193" s="1507">
        <v>6560000</v>
      </c>
      <c r="T193" s="1531">
        <f t="shared" si="85"/>
        <v>0.10371432185168009</v>
      </c>
      <c r="U193" s="1505">
        <f>IF(R193=0,0,S193/R193)</f>
        <v>0.33333333333333331</v>
      </c>
      <c r="V193" s="1532">
        <v>45428</v>
      </c>
      <c r="W193" s="1532">
        <v>45657</v>
      </c>
      <c r="X193" s="1549" t="s">
        <v>5244</v>
      </c>
      <c r="Y193" s="3080"/>
    </row>
    <row r="194" spans="1:25" ht="16.5" customHeight="1">
      <c r="A194" s="1480"/>
      <c r="B194" s="1480">
        <v>5202010</v>
      </c>
      <c r="C194" s="1480" t="s">
        <v>102</v>
      </c>
      <c r="D194" s="1523" t="s">
        <v>2240</v>
      </c>
      <c r="E194" s="1482"/>
      <c r="F194" s="1480"/>
      <c r="G194" s="1523"/>
      <c r="H194" s="1480"/>
      <c r="I194" s="1523"/>
      <c r="J194" s="1481"/>
      <c r="K194" s="1569"/>
      <c r="L194" s="1519"/>
      <c r="M194" s="1524"/>
      <c r="N194" s="1519"/>
      <c r="O194" s="1525"/>
      <c r="P194" s="1518"/>
      <c r="Q194" s="1518"/>
      <c r="R194" s="1518"/>
      <c r="S194" s="1518"/>
      <c r="T194" s="1519"/>
      <c r="U194" s="1519"/>
      <c r="V194" s="1480"/>
      <c r="W194" s="1480"/>
      <c r="X194" s="1527"/>
      <c r="Y194" s="1488"/>
    </row>
    <row r="195" spans="1:25" ht="16.5" customHeight="1">
      <c r="A195" s="1492"/>
      <c r="B195" s="1542">
        <v>52020100001</v>
      </c>
      <c r="C195" s="1492" t="s">
        <v>103</v>
      </c>
      <c r="D195" s="1528" t="s">
        <v>2241</v>
      </c>
      <c r="E195" s="1494"/>
      <c r="F195" s="1545"/>
      <c r="G195" s="1493"/>
      <c r="H195" s="1545">
        <f>H197</f>
        <v>1457</v>
      </c>
      <c r="I195" s="1510"/>
      <c r="J195" s="1493"/>
      <c r="K195" s="1518"/>
      <c r="L195" s="1519"/>
      <c r="M195" s="1529"/>
      <c r="N195" s="1519"/>
      <c r="O195" s="1530"/>
      <c r="P195" s="1518"/>
      <c r="Q195" s="1518"/>
      <c r="R195" s="1518"/>
      <c r="S195" s="1518"/>
      <c r="T195" s="1531"/>
      <c r="U195" s="1531"/>
      <c r="V195" s="1492"/>
      <c r="W195" s="1492"/>
      <c r="X195" s="1511"/>
      <c r="Y195" s="1502"/>
    </row>
    <row r="196" spans="1:25" ht="25.5" customHeight="1">
      <c r="A196" s="3062">
        <v>4146</v>
      </c>
      <c r="B196" s="3062"/>
      <c r="C196" s="3062" t="s">
        <v>109</v>
      </c>
      <c r="D196" s="3073" t="s">
        <v>2242</v>
      </c>
      <c r="E196" s="1494" t="s">
        <v>2243</v>
      </c>
      <c r="F196" s="1492"/>
      <c r="G196" s="1493"/>
      <c r="H196" s="1492"/>
      <c r="I196" s="1510"/>
      <c r="J196" s="1493"/>
      <c r="K196" s="1507">
        <v>5015</v>
      </c>
      <c r="L196" s="1505">
        <v>1</v>
      </c>
      <c r="M196" s="1529"/>
      <c r="N196" s="1505">
        <f>+N197+N198</f>
        <v>0.18</v>
      </c>
      <c r="O196" s="3074">
        <f>IF(Q196&gt;0,N196,"na")</f>
        <v>0.18</v>
      </c>
      <c r="P196" s="1507">
        <f>+P197+P198</f>
        <v>3873710163</v>
      </c>
      <c r="Q196" s="1507">
        <f t="shared" ref="Q196:S196" si="86">+Q197+Q198</f>
        <v>13053599800</v>
      </c>
      <c r="R196" s="1507">
        <f t="shared" si="86"/>
        <v>1345237500</v>
      </c>
      <c r="S196" s="1507">
        <f t="shared" si="86"/>
        <v>684613000</v>
      </c>
      <c r="T196" s="1531">
        <f t="shared" ref="T196:U198" si="87">IF(Q196=0,0,R196/Q196)</f>
        <v>0.10305490597314007</v>
      </c>
      <c r="U196" s="1531">
        <f t="shared" si="87"/>
        <v>0.50891608359118745</v>
      </c>
      <c r="V196" s="1532"/>
      <c r="W196" s="1532"/>
      <c r="X196" s="1511"/>
      <c r="Y196" s="3068" t="s">
        <v>2108</v>
      </c>
    </row>
    <row r="197" spans="1:25" ht="16.5" customHeight="1">
      <c r="A197" s="3062"/>
      <c r="B197" s="3062"/>
      <c r="C197" s="3062"/>
      <c r="D197" s="3066"/>
      <c r="E197" s="1494" t="s">
        <v>2244</v>
      </c>
      <c r="F197" s="1492"/>
      <c r="G197" s="1510" t="s">
        <v>2241</v>
      </c>
      <c r="H197" s="1545">
        <v>1457</v>
      </c>
      <c r="I197" s="1510" t="s">
        <v>5245</v>
      </c>
      <c r="J197" s="1510" t="s">
        <v>2176</v>
      </c>
      <c r="K197" s="1547">
        <v>5015</v>
      </c>
      <c r="L197" s="1548">
        <v>0.7</v>
      </c>
      <c r="M197" s="1506">
        <v>1457</v>
      </c>
      <c r="N197" s="1505">
        <v>0.15</v>
      </c>
      <c r="O197" s="3062"/>
      <c r="P197" s="1507">
        <v>2605980000</v>
      </c>
      <c r="Q197" s="1507">
        <v>10323353797</v>
      </c>
      <c r="R197" s="1507">
        <v>379604000</v>
      </c>
      <c r="S197" s="1507">
        <v>193388000</v>
      </c>
      <c r="T197" s="1531">
        <f t="shared" si="87"/>
        <v>3.6771383357055355E-2</v>
      </c>
      <c r="U197" s="1531">
        <f t="shared" si="87"/>
        <v>0.50944668654703318</v>
      </c>
      <c r="V197" s="1532">
        <v>45307</v>
      </c>
      <c r="W197" s="1532">
        <v>45657</v>
      </c>
      <c r="X197" s="1549" t="s">
        <v>5246</v>
      </c>
      <c r="Y197" s="3069"/>
    </row>
    <row r="198" spans="1:25" ht="135" customHeight="1">
      <c r="A198" s="3062"/>
      <c r="B198" s="3062"/>
      <c r="C198" s="3062"/>
      <c r="D198" s="3066"/>
      <c r="E198" s="1494" t="s">
        <v>2245</v>
      </c>
      <c r="F198" s="1492"/>
      <c r="G198" s="1510"/>
      <c r="H198" s="1492"/>
      <c r="I198" s="1510" t="s">
        <v>5247</v>
      </c>
      <c r="J198" s="1510" t="s">
        <v>2246</v>
      </c>
      <c r="K198" s="1547">
        <v>400</v>
      </c>
      <c r="L198" s="1548">
        <v>0.3</v>
      </c>
      <c r="M198" s="1506">
        <v>28</v>
      </c>
      <c r="N198" s="1505">
        <v>0.03</v>
      </c>
      <c r="O198" s="3062"/>
      <c r="P198" s="1507">
        <v>1267730163</v>
      </c>
      <c r="Q198" s="1507">
        <v>2730246003</v>
      </c>
      <c r="R198" s="1507">
        <v>965633500</v>
      </c>
      <c r="S198" s="1507">
        <v>491225000</v>
      </c>
      <c r="T198" s="1531">
        <f t="shared" si="87"/>
        <v>0.35368003430422018</v>
      </c>
      <c r="U198" s="1531">
        <f t="shared" si="87"/>
        <v>0.50870749616702404</v>
      </c>
      <c r="V198" s="1532">
        <v>45307</v>
      </c>
      <c r="W198" s="1532">
        <v>45657</v>
      </c>
      <c r="X198" s="1549" t="s">
        <v>5248</v>
      </c>
      <c r="Y198" s="3069"/>
    </row>
    <row r="199" spans="1:25" ht="67.5" customHeight="1">
      <c r="A199" s="1480"/>
      <c r="B199" s="1480">
        <v>5202011</v>
      </c>
      <c r="C199" s="1480" t="s">
        <v>102</v>
      </c>
      <c r="D199" s="1523" t="s">
        <v>2247</v>
      </c>
      <c r="E199" s="1482"/>
      <c r="F199" s="1480"/>
      <c r="G199" s="1481"/>
      <c r="H199" s="1480"/>
      <c r="I199" s="1523"/>
      <c r="J199" s="1481"/>
      <c r="K199" s="1569"/>
      <c r="L199" s="1519"/>
      <c r="M199" s="1524"/>
      <c r="N199" s="1519"/>
      <c r="O199" s="1525"/>
      <c r="P199" s="1518"/>
      <c r="Q199" s="1518"/>
      <c r="R199" s="1518"/>
      <c r="S199" s="1518"/>
      <c r="T199" s="1519"/>
      <c r="U199" s="1519"/>
      <c r="V199" s="1480"/>
      <c r="W199" s="1480"/>
      <c r="X199" s="1527"/>
      <c r="Y199" s="1488"/>
    </row>
    <row r="200" spans="1:25" ht="16.5" customHeight="1">
      <c r="A200" s="1492"/>
      <c r="B200" s="1542">
        <v>52020110001</v>
      </c>
      <c r="C200" s="1492" t="s">
        <v>103</v>
      </c>
      <c r="D200" s="1528" t="s">
        <v>2248</v>
      </c>
      <c r="E200" s="1494"/>
      <c r="F200" s="1545"/>
      <c r="G200" s="1493"/>
      <c r="H200" s="1492">
        <f>H202</f>
        <v>0</v>
      </c>
      <c r="I200" s="1510"/>
      <c r="J200" s="1493"/>
      <c r="K200" s="1518"/>
      <c r="L200" s="1519"/>
      <c r="M200" s="1529"/>
      <c r="N200" s="1519"/>
      <c r="O200" s="1530"/>
      <c r="P200" s="1518"/>
      <c r="Q200" s="1518"/>
      <c r="R200" s="1518"/>
      <c r="S200" s="1518"/>
      <c r="T200" s="1531"/>
      <c r="U200" s="1531"/>
      <c r="V200" s="1492"/>
      <c r="W200" s="1492"/>
      <c r="X200" s="1511"/>
      <c r="Y200" s="1502"/>
    </row>
    <row r="201" spans="1:25" ht="16.5" customHeight="1">
      <c r="A201" s="3062">
        <v>4146</v>
      </c>
      <c r="B201" s="3062"/>
      <c r="C201" s="3062" t="s">
        <v>109</v>
      </c>
      <c r="D201" s="3073" t="s">
        <v>2249</v>
      </c>
      <c r="E201" s="1494" t="s">
        <v>2250</v>
      </c>
      <c r="F201" s="1492"/>
      <c r="G201" s="1493"/>
      <c r="H201" s="1492"/>
      <c r="I201" s="1510"/>
      <c r="J201" s="1493"/>
      <c r="K201" s="1547">
        <v>2</v>
      </c>
      <c r="L201" s="1548">
        <v>1</v>
      </c>
      <c r="M201" s="1529"/>
      <c r="N201" s="1505">
        <f>+N202+N203</f>
        <v>0</v>
      </c>
      <c r="O201" s="3074">
        <f>IF(Q201&gt;0,N201,"na")</f>
        <v>0</v>
      </c>
      <c r="P201" s="1507">
        <f>+P202+P203</f>
        <v>300000000</v>
      </c>
      <c r="Q201" s="1507">
        <f t="shared" ref="Q201:S201" si="88">+Q202+Q203</f>
        <v>300000000</v>
      </c>
      <c r="R201" s="1507">
        <f t="shared" si="88"/>
        <v>0</v>
      </c>
      <c r="S201" s="1507">
        <f t="shared" si="88"/>
        <v>0</v>
      </c>
      <c r="T201" s="1531">
        <f t="shared" ref="T201:U203" si="89">IF(Q201=0,0,R201/Q201)</f>
        <v>0</v>
      </c>
      <c r="U201" s="1531">
        <f t="shared" si="89"/>
        <v>0</v>
      </c>
      <c r="V201" s="1532"/>
      <c r="W201" s="1532"/>
      <c r="X201" s="1511"/>
      <c r="Y201" s="3068" t="s">
        <v>2108</v>
      </c>
    </row>
    <row r="202" spans="1:25" ht="81" customHeight="1">
      <c r="A202" s="3062"/>
      <c r="B202" s="3062"/>
      <c r="C202" s="3062"/>
      <c r="D202" s="3073"/>
      <c r="E202" s="1494" t="s">
        <v>2251</v>
      </c>
      <c r="F202" s="1492"/>
      <c r="G202" s="1510" t="s">
        <v>2248</v>
      </c>
      <c r="H202" s="1492">
        <v>0</v>
      </c>
      <c r="I202" s="1510" t="s">
        <v>2252</v>
      </c>
      <c r="J202" s="1493" t="s">
        <v>2253</v>
      </c>
      <c r="K202" s="1547">
        <v>2</v>
      </c>
      <c r="L202" s="1548">
        <v>0.5</v>
      </c>
      <c r="M202" s="1506">
        <v>0</v>
      </c>
      <c r="N202" s="1505">
        <v>0</v>
      </c>
      <c r="O202" s="3074"/>
      <c r="P202" s="1507">
        <v>173290800</v>
      </c>
      <c r="Q202" s="1507">
        <v>173290800</v>
      </c>
      <c r="R202" s="1507">
        <v>0</v>
      </c>
      <c r="S202" s="1507">
        <v>0</v>
      </c>
      <c r="T202" s="1531">
        <f t="shared" si="89"/>
        <v>0</v>
      </c>
      <c r="U202" s="1531">
        <f t="shared" si="89"/>
        <v>0</v>
      </c>
      <c r="V202" s="1532"/>
      <c r="W202" s="1532"/>
      <c r="X202" s="1549"/>
      <c r="Y202" s="3068"/>
    </row>
    <row r="203" spans="1:25" ht="67.5" customHeight="1">
      <c r="A203" s="3062"/>
      <c r="B203" s="3062"/>
      <c r="C203" s="3062"/>
      <c r="D203" s="3066"/>
      <c r="E203" s="1494" t="s">
        <v>2254</v>
      </c>
      <c r="F203" s="1492"/>
      <c r="G203" s="1510"/>
      <c r="H203" s="1492"/>
      <c r="I203" s="1510" t="s">
        <v>2255</v>
      </c>
      <c r="J203" s="1510" t="s">
        <v>2229</v>
      </c>
      <c r="K203" s="1547">
        <v>2</v>
      </c>
      <c r="L203" s="1548">
        <v>0.5</v>
      </c>
      <c r="M203" s="1506">
        <v>0</v>
      </c>
      <c r="N203" s="1505">
        <v>0</v>
      </c>
      <c r="O203" s="3062"/>
      <c r="P203" s="1507">
        <v>126709200</v>
      </c>
      <c r="Q203" s="1507">
        <v>126709200</v>
      </c>
      <c r="R203" s="1507">
        <v>0</v>
      </c>
      <c r="S203" s="1507">
        <v>0</v>
      </c>
      <c r="T203" s="1531">
        <f t="shared" si="89"/>
        <v>0</v>
      </c>
      <c r="U203" s="1531">
        <f t="shared" si="89"/>
        <v>0</v>
      </c>
      <c r="V203" s="1532"/>
      <c r="W203" s="1532"/>
      <c r="X203" s="1583"/>
      <c r="Y203" s="3069"/>
    </row>
    <row r="204" spans="1:25" ht="51">
      <c r="A204" s="1492"/>
      <c r="B204" s="1542">
        <v>52020110002</v>
      </c>
      <c r="C204" s="1492" t="s">
        <v>103</v>
      </c>
      <c r="D204" s="1528" t="s">
        <v>2256</v>
      </c>
      <c r="E204" s="1494"/>
      <c r="F204" s="1545"/>
      <c r="G204" s="1493"/>
      <c r="H204" s="1545">
        <f>H206+H209</f>
        <v>60</v>
      </c>
      <c r="I204" s="1510"/>
      <c r="J204" s="1493"/>
      <c r="K204" s="1518"/>
      <c r="L204" s="1519"/>
      <c r="M204" s="1529"/>
      <c r="N204" s="1519"/>
      <c r="O204" s="1530"/>
      <c r="P204" s="1518"/>
      <c r="Q204" s="1518"/>
      <c r="R204" s="1518"/>
      <c r="S204" s="1518"/>
      <c r="T204" s="1531"/>
      <c r="U204" s="1531"/>
      <c r="V204" s="1492"/>
      <c r="W204" s="1492"/>
      <c r="X204" s="1511"/>
      <c r="Y204" s="1502"/>
    </row>
    <row r="205" spans="1:25" ht="16.5" customHeight="1">
      <c r="A205" s="3062">
        <v>4146</v>
      </c>
      <c r="B205" s="3062"/>
      <c r="C205" s="3062" t="s">
        <v>109</v>
      </c>
      <c r="D205" s="3073" t="s">
        <v>2257</v>
      </c>
      <c r="E205" s="1494" t="s">
        <v>2258</v>
      </c>
      <c r="F205" s="1492"/>
      <c r="G205" s="1493"/>
      <c r="H205" s="1492"/>
      <c r="I205" s="1510"/>
      <c r="J205" s="1493"/>
      <c r="K205" s="1507">
        <v>1500</v>
      </c>
      <c r="L205" s="1505">
        <v>1</v>
      </c>
      <c r="M205" s="1529"/>
      <c r="N205" s="1505">
        <f>+N206+N207</f>
        <v>0.20399999999999999</v>
      </c>
      <c r="O205" s="3074">
        <f>IF(Q205&gt;0,N205,"na")</f>
        <v>0.20399999999999999</v>
      </c>
      <c r="P205" s="1507">
        <f>+P206+P207</f>
        <v>1309979513</v>
      </c>
      <c r="Q205" s="1507">
        <f t="shared" ref="Q205:S205" si="90">+Q206+Q207</f>
        <v>3512570386</v>
      </c>
      <c r="R205" s="1507">
        <f t="shared" si="90"/>
        <v>751269658</v>
      </c>
      <c r="S205" s="1507">
        <f t="shared" si="90"/>
        <v>153364877</v>
      </c>
      <c r="T205" s="1531">
        <f t="shared" ref="T205:U210" si="91">IF(Q205=0,0,R205/Q205)</f>
        <v>0.21388031425486145</v>
      </c>
      <c r="U205" s="1531">
        <f t="shared" si="91"/>
        <v>0.20414091713524254</v>
      </c>
      <c r="V205" s="1532"/>
      <c r="W205" s="1532"/>
      <c r="X205" s="1511"/>
      <c r="Y205" s="3068" t="s">
        <v>1955</v>
      </c>
    </row>
    <row r="206" spans="1:25" ht="16.5" customHeight="1">
      <c r="A206" s="3062"/>
      <c r="B206" s="3062"/>
      <c r="C206" s="3062"/>
      <c r="D206" s="3066"/>
      <c r="E206" s="1494" t="s">
        <v>2259</v>
      </c>
      <c r="F206" s="1492"/>
      <c r="G206" s="1510" t="s">
        <v>2256</v>
      </c>
      <c r="H206" s="1545">
        <v>60</v>
      </c>
      <c r="I206" s="1510" t="s">
        <v>5249</v>
      </c>
      <c r="J206" s="1510" t="s">
        <v>2229</v>
      </c>
      <c r="K206" s="1547">
        <v>1600</v>
      </c>
      <c r="L206" s="1548">
        <v>0.4</v>
      </c>
      <c r="M206" s="1506">
        <f>60+380+312</f>
        <v>752</v>
      </c>
      <c r="N206" s="1505">
        <v>0.15</v>
      </c>
      <c r="O206" s="3062"/>
      <c r="P206" s="1507">
        <v>916157813</v>
      </c>
      <c r="Q206" s="1507">
        <v>2652127113</v>
      </c>
      <c r="R206" s="1507">
        <v>685854413</v>
      </c>
      <c r="S206" s="1507">
        <v>136324221</v>
      </c>
      <c r="T206" s="1531">
        <f t="shared" si="91"/>
        <v>0.25860540757572653</v>
      </c>
      <c r="U206" s="1531">
        <f t="shared" si="91"/>
        <v>0.19876553743192144</v>
      </c>
      <c r="V206" s="1532">
        <v>45308</v>
      </c>
      <c r="W206" s="1532">
        <v>45657</v>
      </c>
      <c r="X206" s="1549" t="s">
        <v>5250</v>
      </c>
      <c r="Y206" s="3069"/>
    </row>
    <row r="207" spans="1:25" ht="25.5" customHeight="1">
      <c r="A207" s="3062"/>
      <c r="B207" s="3062"/>
      <c r="C207" s="3062"/>
      <c r="D207" s="3066"/>
      <c r="E207" s="1494" t="s">
        <v>2260</v>
      </c>
      <c r="F207" s="1492"/>
      <c r="G207" s="1510"/>
      <c r="H207" s="1492"/>
      <c r="I207" s="1510" t="s">
        <v>2261</v>
      </c>
      <c r="J207" s="1510" t="s">
        <v>2262</v>
      </c>
      <c r="K207" s="1547">
        <v>8</v>
      </c>
      <c r="L207" s="1548">
        <v>0.6</v>
      </c>
      <c r="M207" s="1506">
        <v>0</v>
      </c>
      <c r="N207" s="1505">
        <v>5.3999999999999999E-2</v>
      </c>
      <c r="O207" s="3062"/>
      <c r="P207" s="1507">
        <v>393821700</v>
      </c>
      <c r="Q207" s="1507">
        <v>860443273</v>
      </c>
      <c r="R207" s="1507">
        <v>65415245</v>
      </c>
      <c r="S207" s="1507">
        <v>17040656</v>
      </c>
      <c r="T207" s="1531">
        <f t="shared" si="91"/>
        <v>7.6025052496400888E-2</v>
      </c>
      <c r="U207" s="1531">
        <f t="shared" si="91"/>
        <v>0.26049976576561013</v>
      </c>
      <c r="V207" s="1532">
        <v>45308</v>
      </c>
      <c r="W207" s="1532">
        <v>45657</v>
      </c>
      <c r="X207" s="1511"/>
      <c r="Y207" s="3069"/>
    </row>
    <row r="208" spans="1:25" ht="16.5" customHeight="1">
      <c r="A208" s="3079">
        <v>4146</v>
      </c>
      <c r="B208" s="3079"/>
      <c r="C208" s="3079" t="s">
        <v>109</v>
      </c>
      <c r="D208" s="3083" t="s">
        <v>2263</v>
      </c>
      <c r="E208" s="1494" t="s">
        <v>2264</v>
      </c>
      <c r="F208" s="1494"/>
      <c r="G208" s="1510"/>
      <c r="H208" s="1494"/>
      <c r="I208" s="1510"/>
      <c r="J208" s="1510"/>
      <c r="K208" s="1584">
        <v>100</v>
      </c>
      <c r="L208" s="1585">
        <v>1</v>
      </c>
      <c r="M208" s="1506"/>
      <c r="N208" s="1505">
        <f>+N209+N210</f>
        <v>0</v>
      </c>
      <c r="O208" s="3074">
        <f>IF(Q208&gt;0,N208,"na")</f>
        <v>0</v>
      </c>
      <c r="P208" s="1507">
        <f>+P209+P210</f>
        <v>400000000</v>
      </c>
      <c r="Q208" s="1507">
        <f>+Q209+Q210</f>
        <v>400000000</v>
      </c>
      <c r="R208" s="1507">
        <f>+R209+R210</f>
        <v>0</v>
      </c>
      <c r="S208" s="1507">
        <f t="shared" ref="S208" si="92">+S209+S210</f>
        <v>0</v>
      </c>
      <c r="T208" s="1531">
        <f t="shared" si="91"/>
        <v>0</v>
      </c>
      <c r="U208" s="1531">
        <f t="shared" si="91"/>
        <v>0</v>
      </c>
      <c r="V208" s="1532"/>
      <c r="W208" s="1532"/>
      <c r="X208" s="1511"/>
      <c r="Y208" s="3079" t="s">
        <v>1955</v>
      </c>
    </row>
    <row r="209" spans="1:25" ht="94.5" customHeight="1">
      <c r="A209" s="3089"/>
      <c r="B209" s="3089"/>
      <c r="C209" s="3089"/>
      <c r="D209" s="3084"/>
      <c r="E209" s="1494" t="s">
        <v>2265</v>
      </c>
      <c r="F209" s="1494"/>
      <c r="G209" s="1510" t="s">
        <v>2256</v>
      </c>
      <c r="H209" s="1494">
        <v>0</v>
      </c>
      <c r="I209" s="1510" t="s">
        <v>2266</v>
      </c>
      <c r="J209" s="1510" t="s">
        <v>2176</v>
      </c>
      <c r="K209" s="1584">
        <v>100</v>
      </c>
      <c r="L209" s="1585">
        <v>0.5</v>
      </c>
      <c r="M209" s="1506">
        <v>0</v>
      </c>
      <c r="N209" s="1505">
        <v>0</v>
      </c>
      <c r="O209" s="3062"/>
      <c r="P209" s="1507">
        <v>155072000</v>
      </c>
      <c r="Q209" s="1507">
        <v>155072000</v>
      </c>
      <c r="R209" s="1507">
        <v>0</v>
      </c>
      <c r="S209" s="1507">
        <v>0</v>
      </c>
      <c r="T209" s="1531">
        <f t="shared" si="91"/>
        <v>0</v>
      </c>
      <c r="U209" s="1531">
        <f t="shared" si="91"/>
        <v>0</v>
      </c>
      <c r="V209" s="1532"/>
      <c r="W209" s="1532"/>
      <c r="X209" s="1511"/>
      <c r="Y209" s="3089"/>
    </row>
    <row r="210" spans="1:25" ht="108" customHeight="1">
      <c r="A210" s="3080"/>
      <c r="B210" s="3080"/>
      <c r="C210" s="3080"/>
      <c r="D210" s="3085"/>
      <c r="E210" s="1494" t="s">
        <v>2267</v>
      </c>
      <c r="F210" s="1494"/>
      <c r="G210" s="1510"/>
      <c r="H210" s="1494"/>
      <c r="I210" s="1510" t="s">
        <v>2268</v>
      </c>
      <c r="J210" s="1510" t="s">
        <v>2269</v>
      </c>
      <c r="K210" s="1584">
        <v>100</v>
      </c>
      <c r="L210" s="1585">
        <v>0.5</v>
      </c>
      <c r="M210" s="1506">
        <v>0</v>
      </c>
      <c r="N210" s="1505">
        <v>0</v>
      </c>
      <c r="O210" s="3062"/>
      <c r="P210" s="1507">
        <v>244928000</v>
      </c>
      <c r="Q210" s="1507">
        <v>244928000</v>
      </c>
      <c r="R210" s="1507">
        <v>0</v>
      </c>
      <c r="S210" s="1507">
        <v>0</v>
      </c>
      <c r="T210" s="1531">
        <f t="shared" si="91"/>
        <v>0</v>
      </c>
      <c r="U210" s="1531">
        <f t="shared" si="91"/>
        <v>0</v>
      </c>
      <c r="V210" s="1532"/>
      <c r="W210" s="1532"/>
      <c r="X210" s="1511"/>
      <c r="Y210" s="3080"/>
    </row>
    <row r="211" spans="1:25" ht="25.5" customHeight="1">
      <c r="A211" s="1492"/>
      <c r="B211" s="1542">
        <v>52020110003</v>
      </c>
      <c r="C211" s="1492" t="s">
        <v>103</v>
      </c>
      <c r="D211" s="1528" t="s">
        <v>2270</v>
      </c>
      <c r="E211" s="1494"/>
      <c r="F211" s="1543"/>
      <c r="G211" s="1493"/>
      <c r="H211" s="1586">
        <f>AVERAGE(H213,H218)</f>
        <v>1</v>
      </c>
      <c r="I211" s="1510"/>
      <c r="J211" s="1493"/>
      <c r="K211" s="1518"/>
      <c r="L211" s="1519"/>
      <c r="M211" s="1529"/>
      <c r="N211" s="1519"/>
      <c r="O211" s="1530"/>
      <c r="P211" s="1518"/>
      <c r="Q211" s="1518"/>
      <c r="R211" s="1518"/>
      <c r="S211" s="1518"/>
      <c r="T211" s="1531"/>
      <c r="U211" s="1531"/>
      <c r="V211" s="1492"/>
      <c r="W211" s="1492"/>
      <c r="X211" s="1511"/>
      <c r="Y211" s="1502"/>
    </row>
    <row r="212" spans="1:25" ht="16.5" customHeight="1">
      <c r="A212" s="3062">
        <v>4146</v>
      </c>
      <c r="B212" s="3070"/>
      <c r="C212" s="3070" t="s">
        <v>109</v>
      </c>
      <c r="D212" s="3079" t="s">
        <v>2271</v>
      </c>
      <c r="E212" s="1494" t="s">
        <v>2272</v>
      </c>
      <c r="F212" s="1492"/>
      <c r="G212" s="1493"/>
      <c r="H212" s="1492"/>
      <c r="I212" s="1510"/>
      <c r="J212" s="1493"/>
      <c r="K212" s="1507">
        <v>850</v>
      </c>
      <c r="L212" s="1505">
        <v>1</v>
      </c>
      <c r="M212" s="1529"/>
      <c r="N212" s="1505">
        <f>N213+N214+N215</f>
        <v>0.25</v>
      </c>
      <c r="O212" s="3091">
        <f>IF(Q212&gt;0,N212,"na")</f>
        <v>0.25</v>
      </c>
      <c r="P212" s="1507">
        <f>+P213+P214+P215</f>
        <v>1172920515</v>
      </c>
      <c r="Q212" s="1507">
        <f t="shared" ref="Q212:S212" si="93">+Q213+Q214+Q215</f>
        <v>2910801115</v>
      </c>
      <c r="R212" s="1507">
        <f t="shared" si="93"/>
        <v>1590511500</v>
      </c>
      <c r="S212" s="1507">
        <f t="shared" si="93"/>
        <v>466798500</v>
      </c>
      <c r="T212" s="1531">
        <f>IF(Q212=0,0,R212/Q212)</f>
        <v>0.54641709864811561</v>
      </c>
      <c r="U212" s="1531">
        <f t="shared" ref="T212:U218" si="94">IF(R212=0,0,S212/R212)</f>
        <v>0.29348954723056075</v>
      </c>
      <c r="V212" s="1532"/>
      <c r="W212" s="1532"/>
      <c r="X212" s="1511"/>
      <c r="Y212" s="3079" t="s">
        <v>1955</v>
      </c>
    </row>
    <row r="213" spans="1:25" ht="81" customHeight="1">
      <c r="A213" s="3062"/>
      <c r="B213" s="3071"/>
      <c r="C213" s="3071"/>
      <c r="D213" s="3089"/>
      <c r="E213" s="1494" t="s">
        <v>2273</v>
      </c>
      <c r="F213" s="1492"/>
      <c r="G213" s="1510" t="s">
        <v>2270</v>
      </c>
      <c r="H213" s="1586">
        <v>1</v>
      </c>
      <c r="I213" s="1503" t="s">
        <v>5251</v>
      </c>
      <c r="J213" s="1510" t="s">
        <v>2104</v>
      </c>
      <c r="K213" s="1507">
        <v>950</v>
      </c>
      <c r="L213" s="1505">
        <v>0.45</v>
      </c>
      <c r="M213" s="1506">
        <f>76+55+72+51</f>
        <v>254</v>
      </c>
      <c r="N213" s="1505">
        <v>0.25</v>
      </c>
      <c r="O213" s="3092"/>
      <c r="P213" s="1507">
        <v>1172920515</v>
      </c>
      <c r="Q213" s="1507">
        <v>2667125927</v>
      </c>
      <c r="R213" s="1507">
        <v>1590511500</v>
      </c>
      <c r="S213" s="1507">
        <v>466798500</v>
      </c>
      <c r="T213" s="1531">
        <f t="shared" si="94"/>
        <v>0.59633910941318669</v>
      </c>
      <c r="U213" s="1531">
        <f t="shared" si="94"/>
        <v>0.29348954723056075</v>
      </c>
      <c r="V213" s="1532">
        <v>45307</v>
      </c>
      <c r="W213" s="1532">
        <v>45657</v>
      </c>
      <c r="X213" s="1511" t="s">
        <v>5252</v>
      </c>
      <c r="Y213" s="3089"/>
    </row>
    <row r="214" spans="1:25" ht="33" customHeight="1">
      <c r="A214" s="1492"/>
      <c r="B214" s="3071"/>
      <c r="C214" s="3071"/>
      <c r="D214" s="3089"/>
      <c r="E214" s="1494" t="s">
        <v>5253</v>
      </c>
      <c r="F214" s="1492"/>
      <c r="G214" s="1510"/>
      <c r="H214" s="1586"/>
      <c r="I214" s="1503" t="s">
        <v>2277</v>
      </c>
      <c r="J214" s="1510" t="s">
        <v>5254</v>
      </c>
      <c r="K214" s="1507">
        <v>1</v>
      </c>
      <c r="L214" s="1505">
        <v>0.3</v>
      </c>
      <c r="M214" s="1506">
        <v>0</v>
      </c>
      <c r="N214" s="1505">
        <v>0</v>
      </c>
      <c r="O214" s="3092"/>
      <c r="P214" s="1507">
        <v>0</v>
      </c>
      <c r="Q214" s="1507">
        <v>68681088</v>
      </c>
      <c r="R214" s="1507">
        <v>0</v>
      </c>
      <c r="S214" s="1507">
        <v>0</v>
      </c>
      <c r="T214" s="1531">
        <f t="shared" si="94"/>
        <v>0</v>
      </c>
      <c r="U214" s="1531">
        <f t="shared" si="94"/>
        <v>0</v>
      </c>
      <c r="V214" s="1532"/>
      <c r="W214" s="1532"/>
      <c r="X214" s="1511"/>
      <c r="Y214" s="3089"/>
    </row>
    <row r="215" spans="1:25" ht="16.5" customHeight="1">
      <c r="A215" s="1492"/>
      <c r="B215" s="3072"/>
      <c r="C215" s="3072"/>
      <c r="D215" s="3080"/>
      <c r="E215" s="1494" t="s">
        <v>5255</v>
      </c>
      <c r="F215" s="1492"/>
      <c r="G215" s="1510"/>
      <c r="H215" s="1586"/>
      <c r="I215" s="1503" t="s">
        <v>5256</v>
      </c>
      <c r="J215" s="1510" t="s">
        <v>5257</v>
      </c>
      <c r="K215" s="1507">
        <v>70</v>
      </c>
      <c r="L215" s="1505">
        <v>0.25</v>
      </c>
      <c r="M215" s="1506">
        <v>0</v>
      </c>
      <c r="N215" s="1505">
        <v>0</v>
      </c>
      <c r="O215" s="3093"/>
      <c r="P215" s="1507">
        <v>0</v>
      </c>
      <c r="Q215" s="1507">
        <v>174994100</v>
      </c>
      <c r="R215" s="1507">
        <v>0</v>
      </c>
      <c r="S215" s="1507">
        <v>0</v>
      </c>
      <c r="T215" s="1531">
        <f t="shared" si="94"/>
        <v>0</v>
      </c>
      <c r="U215" s="1531">
        <f t="shared" si="94"/>
        <v>0</v>
      </c>
      <c r="V215" s="1532"/>
      <c r="W215" s="1532"/>
      <c r="X215" s="1511"/>
      <c r="Y215" s="3080"/>
    </row>
    <row r="216" spans="1:25" ht="16.5" customHeight="1">
      <c r="A216" s="3062">
        <v>4146</v>
      </c>
      <c r="B216" s="3062"/>
      <c r="C216" s="3062" t="s">
        <v>109</v>
      </c>
      <c r="D216" s="3073" t="s">
        <v>2274</v>
      </c>
      <c r="E216" s="1494" t="s">
        <v>2275</v>
      </c>
      <c r="F216" s="1492"/>
      <c r="G216" s="1493"/>
      <c r="H216" s="1492"/>
      <c r="I216" s="1510"/>
      <c r="J216" s="1493"/>
      <c r="K216" s="1507">
        <v>140</v>
      </c>
      <c r="L216" s="1505">
        <v>1</v>
      </c>
      <c r="M216" s="1529"/>
      <c r="N216" s="1505">
        <f>+N217+N218</f>
        <v>0.309</v>
      </c>
      <c r="O216" s="3074">
        <f>IF(Q216&gt;0,N216,"na")</f>
        <v>0.309</v>
      </c>
      <c r="P216" s="1507">
        <f>+P217+P218</f>
        <v>2098363150</v>
      </c>
      <c r="Q216" s="1507">
        <f t="shared" ref="Q216:S216" si="95">+Q217+Q218</f>
        <v>2791518850</v>
      </c>
      <c r="R216" s="1507">
        <f t="shared" si="95"/>
        <v>826238424</v>
      </c>
      <c r="S216" s="1507">
        <f t="shared" si="95"/>
        <v>307101052</v>
      </c>
      <c r="T216" s="1531">
        <f t="shared" si="94"/>
        <v>0.29598167463565578</v>
      </c>
      <c r="U216" s="1531">
        <f t="shared" si="94"/>
        <v>0.37168575447418312</v>
      </c>
      <c r="V216" s="1532"/>
      <c r="W216" s="1532"/>
      <c r="X216" s="1511"/>
      <c r="Y216" s="3079" t="s">
        <v>1955</v>
      </c>
    </row>
    <row r="217" spans="1:25" ht="94.5" customHeight="1">
      <c r="A217" s="3062"/>
      <c r="B217" s="3062"/>
      <c r="C217" s="3062"/>
      <c r="D217" s="3066"/>
      <c r="E217" s="1494" t="s">
        <v>2276</v>
      </c>
      <c r="F217" s="1492"/>
      <c r="G217" s="1510"/>
      <c r="H217" s="1492"/>
      <c r="I217" s="1503" t="s">
        <v>2277</v>
      </c>
      <c r="J217" s="1510" t="s">
        <v>2179</v>
      </c>
      <c r="K217" s="1507">
        <v>1</v>
      </c>
      <c r="L217" s="1505">
        <v>0.24</v>
      </c>
      <c r="M217" s="1506">
        <v>1</v>
      </c>
      <c r="N217" s="1505">
        <v>0.08</v>
      </c>
      <c r="O217" s="3062"/>
      <c r="P217" s="1507">
        <v>560364063</v>
      </c>
      <c r="Q217" s="1507">
        <v>667349763</v>
      </c>
      <c r="R217" s="1507">
        <v>130000000</v>
      </c>
      <c r="S217" s="1507">
        <v>44456100</v>
      </c>
      <c r="T217" s="1531">
        <f t="shared" si="94"/>
        <v>0.19480039884272798</v>
      </c>
      <c r="U217" s="1531">
        <f t="shared" si="94"/>
        <v>0.34197</v>
      </c>
      <c r="V217" s="1532">
        <v>45307</v>
      </c>
      <c r="W217" s="1532">
        <v>45657</v>
      </c>
      <c r="X217" s="1511" t="s">
        <v>5258</v>
      </c>
      <c r="Y217" s="3089"/>
    </row>
    <row r="218" spans="1:25" ht="108" customHeight="1">
      <c r="A218" s="3062"/>
      <c r="B218" s="3062"/>
      <c r="C218" s="3062"/>
      <c r="D218" s="3066"/>
      <c r="E218" s="1494" t="s">
        <v>2278</v>
      </c>
      <c r="F218" s="1492"/>
      <c r="G218" s="1510" t="s">
        <v>2270</v>
      </c>
      <c r="H218" s="1587">
        <v>1</v>
      </c>
      <c r="I218" s="1503" t="s">
        <v>2279</v>
      </c>
      <c r="J218" s="1510" t="s">
        <v>2176</v>
      </c>
      <c r="K218" s="1507">
        <v>140</v>
      </c>
      <c r="L218" s="1505">
        <v>0.76</v>
      </c>
      <c r="M218" s="1506">
        <f>7+1+52+17+8</f>
        <v>85</v>
      </c>
      <c r="N218" s="1505">
        <v>0.22900000000000001</v>
      </c>
      <c r="O218" s="3062"/>
      <c r="P218" s="1507">
        <v>1537999087</v>
      </c>
      <c r="Q218" s="1507">
        <v>2124169087</v>
      </c>
      <c r="R218" s="1507">
        <v>696238424</v>
      </c>
      <c r="S218" s="1507">
        <v>262644952</v>
      </c>
      <c r="T218" s="1531">
        <f>IF(Q218=0,0,R218/Q218)</f>
        <v>0.32776977513749123</v>
      </c>
      <c r="U218" s="1531">
        <f t="shared" si="94"/>
        <v>0.3772342102164703</v>
      </c>
      <c r="V218" s="1532">
        <v>45307</v>
      </c>
      <c r="W218" s="1532">
        <v>45657</v>
      </c>
      <c r="X218" s="1549" t="s">
        <v>5259</v>
      </c>
      <c r="Y218" s="3080"/>
    </row>
    <row r="219" spans="1:25" ht="40.5" customHeight="1">
      <c r="A219" s="1492"/>
      <c r="B219" s="1542">
        <v>52020110005</v>
      </c>
      <c r="C219" s="1492" t="s">
        <v>103</v>
      </c>
      <c r="D219" s="1528" t="s">
        <v>2280</v>
      </c>
      <c r="E219" s="1494"/>
      <c r="F219" s="1545"/>
      <c r="G219" s="1493"/>
      <c r="H219" s="1578">
        <f>H221</f>
        <v>0</v>
      </c>
      <c r="I219" s="1510"/>
      <c r="J219" s="1493"/>
      <c r="K219" s="1518"/>
      <c r="L219" s="1519"/>
      <c r="M219" s="1529"/>
      <c r="N219" s="1519"/>
      <c r="O219" s="1530"/>
      <c r="P219" s="1518"/>
      <c r="Q219" s="1518"/>
      <c r="R219" s="1518"/>
      <c r="S219" s="1518"/>
      <c r="T219" s="1531"/>
      <c r="U219" s="1531"/>
      <c r="V219" s="1492"/>
      <c r="W219" s="1492"/>
      <c r="X219" s="1511"/>
      <c r="Y219" s="1502"/>
    </row>
    <row r="220" spans="1:25" ht="16.5" customHeight="1">
      <c r="A220" s="3062">
        <v>4146</v>
      </c>
      <c r="B220" s="3062"/>
      <c r="C220" s="3062" t="s">
        <v>109</v>
      </c>
      <c r="D220" s="3073" t="s">
        <v>2281</v>
      </c>
      <c r="E220" s="1494" t="s">
        <v>2282</v>
      </c>
      <c r="F220" s="1492"/>
      <c r="G220" s="1493"/>
      <c r="H220" s="1492"/>
      <c r="I220" s="1510"/>
      <c r="J220" s="1493"/>
      <c r="K220" s="1507">
        <v>1</v>
      </c>
      <c r="L220" s="1505">
        <v>1</v>
      </c>
      <c r="M220" s="1529"/>
      <c r="N220" s="1505">
        <f>N221+N222+N223</f>
        <v>0</v>
      </c>
      <c r="O220" s="3074">
        <f>IF(Q220&gt;0,N220,"na")</f>
        <v>0</v>
      </c>
      <c r="P220" s="1507">
        <f>P221+P222+P223</f>
        <v>54028800</v>
      </c>
      <c r="Q220" s="1507">
        <f>Q221+Q222+Q223</f>
        <v>1163075040</v>
      </c>
      <c r="R220" s="1507">
        <f t="shared" ref="R220:S220" si="96">R221+R222+R223</f>
        <v>0</v>
      </c>
      <c r="S220" s="1507">
        <f t="shared" si="96"/>
        <v>0</v>
      </c>
      <c r="T220" s="1531">
        <f t="shared" ref="T220:U223" si="97">IF(Q220=0,0,R220/Q220)</f>
        <v>0</v>
      </c>
      <c r="U220" s="1531">
        <f t="shared" si="97"/>
        <v>0</v>
      </c>
      <c r="V220" s="1532"/>
      <c r="W220" s="1532"/>
      <c r="X220" s="1511"/>
      <c r="Y220" s="3079" t="s">
        <v>1955</v>
      </c>
    </row>
    <row r="221" spans="1:25" ht="54" customHeight="1">
      <c r="A221" s="3062"/>
      <c r="B221" s="3062"/>
      <c r="C221" s="3062"/>
      <c r="D221" s="3066"/>
      <c r="E221" s="1494" t="s">
        <v>2283</v>
      </c>
      <c r="F221" s="1492"/>
      <c r="G221" s="1510" t="s">
        <v>2284</v>
      </c>
      <c r="H221" s="1588">
        <v>0</v>
      </c>
      <c r="I221" s="1510" t="s">
        <v>2285</v>
      </c>
      <c r="J221" s="1510" t="s">
        <v>122</v>
      </c>
      <c r="K221" s="1507">
        <v>1</v>
      </c>
      <c r="L221" s="1505">
        <v>0.4</v>
      </c>
      <c r="M221" s="1506">
        <v>0</v>
      </c>
      <c r="N221" s="1505">
        <v>0</v>
      </c>
      <c r="O221" s="3074"/>
      <c r="P221" s="1507">
        <v>54028800</v>
      </c>
      <c r="Q221" s="1507">
        <v>608551920</v>
      </c>
      <c r="R221" s="1507">
        <v>0</v>
      </c>
      <c r="S221" s="1507">
        <v>0</v>
      </c>
      <c r="T221" s="1531">
        <f t="shared" si="97"/>
        <v>0</v>
      </c>
      <c r="U221" s="1531">
        <f t="shared" si="97"/>
        <v>0</v>
      </c>
      <c r="V221" s="1532"/>
      <c r="W221" s="1532"/>
      <c r="X221" s="1511"/>
      <c r="Y221" s="3089"/>
    </row>
    <row r="222" spans="1:25" ht="67.5" customHeight="1">
      <c r="A222" s="1492"/>
      <c r="B222" s="1492"/>
      <c r="C222" s="1492"/>
      <c r="D222" s="1493"/>
      <c r="E222" s="1494" t="s">
        <v>5260</v>
      </c>
      <c r="F222" s="1492"/>
      <c r="G222" s="1510"/>
      <c r="H222" s="1588"/>
      <c r="I222" s="1510" t="s">
        <v>5261</v>
      </c>
      <c r="J222" s="1510" t="s">
        <v>110</v>
      </c>
      <c r="K222" s="1507">
        <v>1</v>
      </c>
      <c r="L222" s="1505">
        <v>0.3</v>
      </c>
      <c r="M222" s="1506">
        <v>0</v>
      </c>
      <c r="N222" s="1505">
        <v>0</v>
      </c>
      <c r="O222" s="3074"/>
      <c r="P222" s="1507">
        <v>0</v>
      </c>
      <c r="Q222" s="1507">
        <v>277261560</v>
      </c>
      <c r="R222" s="1507">
        <v>0</v>
      </c>
      <c r="S222" s="1507">
        <v>0</v>
      </c>
      <c r="T222" s="1531">
        <f t="shared" si="97"/>
        <v>0</v>
      </c>
      <c r="U222" s="1531">
        <f t="shared" si="97"/>
        <v>0</v>
      </c>
      <c r="V222" s="1532"/>
      <c r="W222" s="1532"/>
      <c r="X222" s="1511"/>
      <c r="Y222" s="3089"/>
    </row>
    <row r="223" spans="1:25" ht="27">
      <c r="A223" s="1492"/>
      <c r="B223" s="1492"/>
      <c r="C223" s="1492"/>
      <c r="D223" s="1493"/>
      <c r="E223" s="1494" t="s">
        <v>5262</v>
      </c>
      <c r="F223" s="1492"/>
      <c r="G223" s="1510"/>
      <c r="H223" s="1588"/>
      <c r="I223" s="1510" t="s">
        <v>5263</v>
      </c>
      <c r="J223" s="1510" t="s">
        <v>118</v>
      </c>
      <c r="K223" s="1507">
        <v>1</v>
      </c>
      <c r="L223" s="1505">
        <v>0.3</v>
      </c>
      <c r="M223" s="1506">
        <v>0</v>
      </c>
      <c r="N223" s="1505">
        <v>0</v>
      </c>
      <c r="O223" s="3074"/>
      <c r="P223" s="1507">
        <v>0</v>
      </c>
      <c r="Q223" s="1507">
        <v>277261560</v>
      </c>
      <c r="R223" s="1507">
        <v>0</v>
      </c>
      <c r="S223" s="1507">
        <v>0</v>
      </c>
      <c r="T223" s="1531">
        <f t="shared" si="97"/>
        <v>0</v>
      </c>
      <c r="U223" s="1531">
        <f t="shared" si="97"/>
        <v>0</v>
      </c>
      <c r="V223" s="1532"/>
      <c r="W223" s="1532"/>
      <c r="X223" s="1511"/>
      <c r="Y223" s="3080"/>
    </row>
    <row r="224" spans="1:25" ht="38.25">
      <c r="A224" s="1492"/>
      <c r="B224" s="1542">
        <v>52020110006</v>
      </c>
      <c r="C224" s="1492" t="s">
        <v>103</v>
      </c>
      <c r="D224" s="1528" t="s">
        <v>2286</v>
      </c>
      <c r="E224" s="1494"/>
      <c r="F224" s="1589"/>
      <c r="G224" s="1493"/>
      <c r="H224" s="1590">
        <f>H227</f>
        <v>0</v>
      </c>
      <c r="I224" s="1510"/>
      <c r="J224" s="1493"/>
      <c r="K224" s="1518"/>
      <c r="L224" s="1519"/>
      <c r="M224" s="1529"/>
      <c r="N224" s="1519"/>
      <c r="O224" s="1530"/>
      <c r="P224" s="1518"/>
      <c r="Q224" s="1518"/>
      <c r="R224" s="1518"/>
      <c r="S224" s="1518"/>
      <c r="T224" s="1531"/>
      <c r="U224" s="1531"/>
      <c r="V224" s="1492"/>
      <c r="W224" s="1492"/>
      <c r="X224" s="1511"/>
      <c r="Y224" s="1502"/>
    </row>
    <row r="225" spans="1:25" ht="16.5" customHeight="1">
      <c r="A225" s="3062">
        <v>4146</v>
      </c>
      <c r="B225" s="3062"/>
      <c r="C225" s="3062" t="s">
        <v>109</v>
      </c>
      <c r="D225" s="3073" t="s">
        <v>2287</v>
      </c>
      <c r="E225" s="1494">
        <v>18</v>
      </c>
      <c r="F225" s="1492"/>
      <c r="G225" s="1493"/>
      <c r="H225" s="1492"/>
      <c r="I225" s="1510"/>
      <c r="J225" s="1493"/>
      <c r="K225" s="1547">
        <v>1</v>
      </c>
      <c r="L225" s="1548">
        <v>1</v>
      </c>
      <c r="M225" s="1529"/>
      <c r="N225" s="1505">
        <f>+N226+N227</f>
        <v>0.29000000000000004</v>
      </c>
      <c r="O225" s="3074">
        <f>IF(Q225&gt;0,N225,"na")</f>
        <v>0.29000000000000004</v>
      </c>
      <c r="P225" s="1507">
        <f>+P226+P227</f>
        <v>739012400</v>
      </c>
      <c r="Q225" s="1507">
        <f t="shared" ref="Q225:S225" si="98">+Q226+Q227</f>
        <v>2174911644</v>
      </c>
      <c r="R225" s="1507">
        <f t="shared" si="98"/>
        <v>582058444</v>
      </c>
      <c r="S225" s="1507">
        <f t="shared" si="98"/>
        <v>135787224</v>
      </c>
      <c r="T225" s="1531">
        <f t="shared" ref="T225:U227" si="99">IF(Q225=0,0,R225/Q225)</f>
        <v>0.26762394950881968</v>
      </c>
      <c r="U225" s="1531">
        <f t="shared" si="99"/>
        <v>0.23328795484324252</v>
      </c>
      <c r="V225" s="1532"/>
      <c r="W225" s="1532"/>
      <c r="X225" s="1511"/>
      <c r="Y225" s="3068" t="s">
        <v>1955</v>
      </c>
    </row>
    <row r="226" spans="1:25" ht="40.5">
      <c r="A226" s="3062"/>
      <c r="B226" s="3062"/>
      <c r="C226" s="3062"/>
      <c r="D226" s="3073"/>
      <c r="E226" s="1494" t="s">
        <v>2288</v>
      </c>
      <c r="F226" s="1492"/>
      <c r="G226" s="1510"/>
      <c r="H226" s="1492"/>
      <c r="I226" s="1510" t="s">
        <v>5264</v>
      </c>
      <c r="J226" s="1510" t="s">
        <v>106</v>
      </c>
      <c r="K226" s="1547">
        <v>800</v>
      </c>
      <c r="L226" s="1548">
        <v>0.6</v>
      </c>
      <c r="M226" s="1506">
        <f>20+96+80+125</f>
        <v>321</v>
      </c>
      <c r="N226" s="1505">
        <v>0.16</v>
      </c>
      <c r="O226" s="3062"/>
      <c r="P226" s="1507">
        <v>483156800</v>
      </c>
      <c r="Q226" s="1507">
        <v>1919056044</v>
      </c>
      <c r="R226" s="1507">
        <v>402721444</v>
      </c>
      <c r="S226" s="1507">
        <v>91736224</v>
      </c>
      <c r="T226" s="1531">
        <f t="shared" si="99"/>
        <v>0.20985392545419584</v>
      </c>
      <c r="U226" s="1531">
        <f t="shared" si="99"/>
        <v>0.22779076050392788</v>
      </c>
      <c r="V226" s="1532">
        <v>45307</v>
      </c>
      <c r="W226" s="1532">
        <v>45657</v>
      </c>
      <c r="X226" s="1511" t="s">
        <v>5265</v>
      </c>
      <c r="Y226" s="3069"/>
    </row>
    <row r="227" spans="1:25" ht="54">
      <c r="A227" s="3062"/>
      <c r="B227" s="3062"/>
      <c r="C227" s="3062"/>
      <c r="D227" s="3073"/>
      <c r="E227" s="1494" t="s">
        <v>2289</v>
      </c>
      <c r="F227" s="1492"/>
      <c r="G227" s="1510" t="s">
        <v>2286</v>
      </c>
      <c r="H227" s="1591">
        <v>0</v>
      </c>
      <c r="I227" s="1510" t="s">
        <v>2290</v>
      </c>
      <c r="J227" s="1510" t="s">
        <v>2229</v>
      </c>
      <c r="K227" s="1547">
        <v>1</v>
      </c>
      <c r="L227" s="1548">
        <v>0.4</v>
      </c>
      <c r="M227" s="1506">
        <v>0</v>
      </c>
      <c r="N227" s="1505">
        <v>0.13</v>
      </c>
      <c r="O227" s="3062"/>
      <c r="P227" s="1507">
        <v>255855600</v>
      </c>
      <c r="Q227" s="1507">
        <v>255855600</v>
      </c>
      <c r="R227" s="1507">
        <v>179337000</v>
      </c>
      <c r="S227" s="1507">
        <v>44051000</v>
      </c>
      <c r="T227" s="1531">
        <f t="shared" si="99"/>
        <v>0.70093052487418683</v>
      </c>
      <c r="U227" s="1531">
        <f t="shared" si="99"/>
        <v>0.24563252424206941</v>
      </c>
      <c r="V227" s="1532">
        <v>45336</v>
      </c>
      <c r="W227" s="1532">
        <v>45657</v>
      </c>
      <c r="X227" s="1511" t="s">
        <v>5266</v>
      </c>
      <c r="Y227" s="3069"/>
    </row>
    <row r="228" spans="1:25">
      <c r="A228" s="1513"/>
      <c r="B228" s="1513">
        <v>5203</v>
      </c>
      <c r="C228" s="1513" t="s">
        <v>101</v>
      </c>
      <c r="D228" s="1517" t="s">
        <v>149</v>
      </c>
      <c r="E228" s="1515"/>
      <c r="F228" s="1513"/>
      <c r="G228" s="1517"/>
      <c r="H228" s="1513"/>
      <c r="I228" s="1517"/>
      <c r="J228" s="1517"/>
      <c r="K228" s="1518"/>
      <c r="L228" s="1519"/>
      <c r="M228" s="1518"/>
      <c r="N228" s="1519"/>
      <c r="O228" s="1520"/>
      <c r="P228" s="1518"/>
      <c r="Q228" s="1518"/>
      <c r="R228" s="1518"/>
      <c r="S228" s="1518"/>
      <c r="T228" s="1519"/>
      <c r="U228" s="1519"/>
      <c r="V228" s="1522"/>
      <c r="W228" s="1522"/>
      <c r="X228" s="1521"/>
      <c r="Y228" s="1515"/>
    </row>
    <row r="229" spans="1:25" ht="33">
      <c r="A229" s="1480"/>
      <c r="B229" s="1480">
        <v>5203004</v>
      </c>
      <c r="C229" s="1480" t="s">
        <v>102</v>
      </c>
      <c r="D229" s="1523" t="s">
        <v>2291</v>
      </c>
      <c r="E229" s="1482"/>
      <c r="F229" s="1480"/>
      <c r="G229" s="1523"/>
      <c r="H229" s="1480"/>
      <c r="I229" s="1523"/>
      <c r="J229" s="1523"/>
      <c r="K229" s="1518"/>
      <c r="L229" s="1519"/>
      <c r="M229" s="1524"/>
      <c r="N229" s="1519"/>
      <c r="O229" s="1525"/>
      <c r="P229" s="1518"/>
      <c r="Q229" s="1518"/>
      <c r="R229" s="1518"/>
      <c r="S229" s="1518"/>
      <c r="T229" s="1519"/>
      <c r="U229" s="1519"/>
      <c r="V229" s="1526"/>
      <c r="W229" s="1526"/>
      <c r="X229" s="1527"/>
      <c r="Y229" s="1482"/>
    </row>
    <row r="230" spans="1:25" ht="51">
      <c r="A230" s="1592"/>
      <c r="B230" s="1542">
        <v>52030040002</v>
      </c>
      <c r="C230" s="1592" t="s">
        <v>103</v>
      </c>
      <c r="D230" s="1528" t="s">
        <v>2292</v>
      </c>
      <c r="E230" s="1593"/>
      <c r="F230" s="1545"/>
      <c r="G230" s="1528"/>
      <c r="H230" s="1545">
        <f>H232</f>
        <v>45322</v>
      </c>
      <c r="I230" s="1528"/>
      <c r="J230" s="1528"/>
      <c r="K230" s="1594"/>
      <c r="L230" s="1595"/>
      <c r="M230" s="1596"/>
      <c r="N230" s="1595"/>
      <c r="O230" s="1597"/>
      <c r="P230" s="1594"/>
      <c r="Q230" s="1594"/>
      <c r="R230" s="1594"/>
      <c r="S230" s="1594"/>
      <c r="T230" s="1598"/>
      <c r="U230" s="1598"/>
      <c r="V230" s="1592"/>
      <c r="W230" s="1599"/>
      <c r="X230" s="1600"/>
      <c r="Y230" s="1601"/>
    </row>
    <row r="231" spans="1:25">
      <c r="A231" s="3062">
        <v>4146</v>
      </c>
      <c r="B231" s="3062"/>
      <c r="C231" s="3062" t="s">
        <v>109</v>
      </c>
      <c r="D231" s="3073" t="s">
        <v>2293</v>
      </c>
      <c r="E231" s="1494" t="s">
        <v>2294</v>
      </c>
      <c r="F231" s="1492"/>
      <c r="G231" s="1510"/>
      <c r="H231" s="1492"/>
      <c r="I231" s="1510"/>
      <c r="J231" s="1493"/>
      <c r="K231" s="1547">
        <v>45322</v>
      </c>
      <c r="L231" s="1548">
        <v>1</v>
      </c>
      <c r="M231" s="1529"/>
      <c r="N231" s="1505">
        <f>+N232+N233</f>
        <v>0.8</v>
      </c>
      <c r="O231" s="3074">
        <f>IF(Q231&gt;0,N231,"na")</f>
        <v>0.8</v>
      </c>
      <c r="P231" s="1507">
        <f>+P232+P233</f>
        <v>34007735657</v>
      </c>
      <c r="Q231" s="1507">
        <f t="shared" ref="Q231:S231" si="100">+Q232+Q233</f>
        <v>48906405288</v>
      </c>
      <c r="R231" s="1507">
        <f t="shared" si="100"/>
        <v>40246395282</v>
      </c>
      <c r="S231" s="1507">
        <f t="shared" si="100"/>
        <v>5476220606</v>
      </c>
      <c r="T231" s="1531">
        <f>IF(Q231=0,0,R231/Q231)</f>
        <v>0.82292687522211172</v>
      </c>
      <c r="U231" s="1531">
        <f>IF(R231=0,0,S231/R231)</f>
        <v>0.13606735628443256</v>
      </c>
      <c r="V231" s="1532"/>
      <c r="W231" s="1532"/>
      <c r="X231" s="1511"/>
      <c r="Y231" s="3068" t="s">
        <v>2108</v>
      </c>
    </row>
    <row r="232" spans="1:25" ht="40.5">
      <c r="A232" s="3062"/>
      <c r="B232" s="3062"/>
      <c r="C232" s="3062"/>
      <c r="D232" s="3073"/>
      <c r="E232" s="1494" t="s">
        <v>2295</v>
      </c>
      <c r="F232" s="1492"/>
      <c r="G232" s="1510" t="s">
        <v>2292</v>
      </c>
      <c r="H232" s="1545">
        <v>45322</v>
      </c>
      <c r="I232" s="1510" t="s">
        <v>2296</v>
      </c>
      <c r="J232" s="1510" t="s">
        <v>2297</v>
      </c>
      <c r="K232" s="1547">
        <v>45322</v>
      </c>
      <c r="L232" s="1548">
        <v>0.75</v>
      </c>
      <c r="M232" s="1506">
        <v>45322</v>
      </c>
      <c r="N232" s="1505">
        <v>0.75</v>
      </c>
      <c r="O232" s="3062"/>
      <c r="P232" s="1507">
        <v>31938324469</v>
      </c>
      <c r="Q232" s="1507">
        <v>45556731233</v>
      </c>
      <c r="R232" s="1507">
        <v>38291273352</v>
      </c>
      <c r="S232" s="1507">
        <v>5476220606</v>
      </c>
      <c r="T232" s="1531">
        <f t="shared" ref="T232:U233" si="101">IF(Q232=0,0,R232/Q232)</f>
        <v>0.84051845502609046</v>
      </c>
      <c r="U232" s="1531">
        <f t="shared" si="101"/>
        <v>0.14301484716005064</v>
      </c>
      <c r="V232" s="1532">
        <v>45307</v>
      </c>
      <c r="W232" s="1532">
        <v>45657</v>
      </c>
      <c r="X232" s="1602" t="s">
        <v>5267</v>
      </c>
      <c r="Y232" s="3068"/>
    </row>
    <row r="233" spans="1:25" ht="40.5">
      <c r="A233" s="3062"/>
      <c r="B233" s="3062"/>
      <c r="C233" s="3062"/>
      <c r="D233" s="3073"/>
      <c r="E233" s="1494" t="s">
        <v>2298</v>
      </c>
      <c r="F233" s="1492"/>
      <c r="G233" s="1510"/>
      <c r="H233" s="1492"/>
      <c r="I233" s="1510" t="s">
        <v>2299</v>
      </c>
      <c r="J233" s="1510" t="s">
        <v>2176</v>
      </c>
      <c r="K233" s="1547">
        <v>17663</v>
      </c>
      <c r="L233" s="1548">
        <v>0.25</v>
      </c>
      <c r="M233" s="1506">
        <v>3386</v>
      </c>
      <c r="N233" s="1505">
        <v>0.05</v>
      </c>
      <c r="O233" s="3062"/>
      <c r="P233" s="1507">
        <v>2069411188</v>
      </c>
      <c r="Q233" s="1507">
        <v>3349674055</v>
      </c>
      <c r="R233" s="1507">
        <v>1955121930</v>
      </c>
      <c r="S233" s="1507">
        <v>0</v>
      </c>
      <c r="T233" s="1531">
        <f t="shared" si="101"/>
        <v>0.58367527642924644</v>
      </c>
      <c r="U233" s="1531">
        <f t="shared" si="101"/>
        <v>0</v>
      </c>
      <c r="V233" s="1532">
        <v>45365</v>
      </c>
      <c r="W233" s="1532">
        <v>45657</v>
      </c>
      <c r="X233" s="1602" t="s">
        <v>5268</v>
      </c>
      <c r="Y233" s="3068"/>
    </row>
    <row r="234" spans="1:25" ht="38.25">
      <c r="A234" s="1492"/>
      <c r="B234" s="1492">
        <v>52030040003</v>
      </c>
      <c r="C234" s="1592" t="s">
        <v>103</v>
      </c>
      <c r="D234" s="1528" t="s">
        <v>2300</v>
      </c>
      <c r="E234" s="1494"/>
      <c r="F234" s="1545"/>
      <c r="G234" s="1510"/>
      <c r="H234" s="1545">
        <f>H236</f>
        <v>0</v>
      </c>
      <c r="I234" s="1510"/>
      <c r="J234" s="1510"/>
      <c r="K234" s="1547"/>
      <c r="L234" s="1548"/>
      <c r="M234" s="1529"/>
      <c r="N234" s="1505"/>
      <c r="O234" s="1539"/>
      <c r="P234" s="1507"/>
      <c r="Q234" s="1507"/>
      <c r="R234" s="1507"/>
      <c r="S234" s="1507"/>
      <c r="T234" s="1531"/>
      <c r="U234" s="1531"/>
      <c r="V234" s="1532"/>
      <c r="W234" s="1532"/>
      <c r="X234" s="1602"/>
      <c r="Y234" s="1494"/>
    </row>
    <row r="235" spans="1:25">
      <c r="A235" s="3079">
        <v>4146</v>
      </c>
      <c r="B235" s="3079"/>
      <c r="C235" s="3079" t="s">
        <v>109</v>
      </c>
      <c r="D235" s="3083" t="s">
        <v>2301</v>
      </c>
      <c r="E235" s="1494" t="s">
        <v>2302</v>
      </c>
      <c r="F235" s="1492"/>
      <c r="G235" s="1510"/>
      <c r="H235" s="1492"/>
      <c r="I235" s="1510"/>
      <c r="J235" s="1510"/>
      <c r="K235" s="1547">
        <v>275</v>
      </c>
      <c r="L235" s="1548">
        <v>1</v>
      </c>
      <c r="M235" s="1529"/>
      <c r="N235" s="1505">
        <f>+N236+N237</f>
        <v>0.06</v>
      </c>
      <c r="O235" s="3091">
        <f>IF(Q235&gt;0,N235,"na")</f>
        <v>0.06</v>
      </c>
      <c r="P235" s="1507">
        <f>+P236+P237</f>
        <v>700000000</v>
      </c>
      <c r="Q235" s="1507">
        <f t="shared" ref="Q235:S235" si="102">+Q236+Q237</f>
        <v>700000000</v>
      </c>
      <c r="R235" s="1507">
        <f t="shared" si="102"/>
        <v>110422833</v>
      </c>
      <c r="S235" s="1507">
        <f t="shared" si="102"/>
        <v>36617000</v>
      </c>
      <c r="T235" s="1531">
        <f>IF(Q235=0,0,R235/Q235)</f>
        <v>0.15774690428571428</v>
      </c>
      <c r="U235" s="1531">
        <f>IF(R235=0,0,S235/R235)</f>
        <v>0.33160714143242459</v>
      </c>
      <c r="V235" s="1532"/>
      <c r="W235" s="1532"/>
      <c r="X235" s="1602"/>
      <c r="Y235" s="3068" t="s">
        <v>2108</v>
      </c>
    </row>
    <row r="236" spans="1:25" ht="40.5">
      <c r="A236" s="3089"/>
      <c r="B236" s="3089"/>
      <c r="C236" s="3089"/>
      <c r="D236" s="3084"/>
      <c r="E236" s="1494" t="s">
        <v>2303</v>
      </c>
      <c r="F236" s="1492"/>
      <c r="G236" s="1510" t="s">
        <v>2300</v>
      </c>
      <c r="H236" s="1545">
        <v>0</v>
      </c>
      <c r="I236" s="1510" t="s">
        <v>2304</v>
      </c>
      <c r="J236" s="1510" t="s">
        <v>2297</v>
      </c>
      <c r="K236" s="1547">
        <v>275</v>
      </c>
      <c r="L236" s="1548">
        <v>0.7</v>
      </c>
      <c r="M236" s="1506">
        <v>0</v>
      </c>
      <c r="N236" s="1505">
        <v>0.03</v>
      </c>
      <c r="O236" s="3092"/>
      <c r="P236" s="1507">
        <v>508453300</v>
      </c>
      <c r="Q236" s="1507">
        <v>508453300</v>
      </c>
      <c r="R236" s="1507">
        <v>52881833</v>
      </c>
      <c r="S236" s="1507">
        <v>0</v>
      </c>
      <c r="T236" s="1531">
        <f t="shared" ref="T236:U237" si="103">IF(Q236=0,0,R236/Q236)</f>
        <v>0.10400529016135798</v>
      </c>
      <c r="U236" s="1531">
        <f t="shared" si="103"/>
        <v>0</v>
      </c>
      <c r="V236" s="1532">
        <v>45365</v>
      </c>
      <c r="W236" s="1532">
        <v>45657</v>
      </c>
      <c r="X236" s="1602" t="s">
        <v>5269</v>
      </c>
      <c r="Y236" s="3068"/>
    </row>
    <row r="237" spans="1:25" ht="40.5">
      <c r="A237" s="3080"/>
      <c r="B237" s="3080"/>
      <c r="C237" s="3080"/>
      <c r="D237" s="3085"/>
      <c r="E237" s="1494" t="s">
        <v>2305</v>
      </c>
      <c r="F237" s="1492"/>
      <c r="G237" s="1510"/>
      <c r="H237" s="1492"/>
      <c r="I237" s="1510" t="s">
        <v>2306</v>
      </c>
      <c r="J237" s="1510" t="s">
        <v>118</v>
      </c>
      <c r="K237" s="1547">
        <v>1</v>
      </c>
      <c r="L237" s="1548">
        <v>0.3</v>
      </c>
      <c r="M237" s="1506">
        <v>0</v>
      </c>
      <c r="N237" s="1505">
        <v>0.03</v>
      </c>
      <c r="O237" s="3092"/>
      <c r="P237" s="1507">
        <v>191546700</v>
      </c>
      <c r="Q237" s="1507">
        <v>191546700</v>
      </c>
      <c r="R237" s="1507">
        <v>57541000</v>
      </c>
      <c r="S237" s="1507">
        <v>36617000</v>
      </c>
      <c r="T237" s="1531">
        <f t="shared" si="103"/>
        <v>0.3004019385350935</v>
      </c>
      <c r="U237" s="1531">
        <f t="shared" si="103"/>
        <v>0.63636363636363635</v>
      </c>
      <c r="V237" s="1532">
        <v>45365</v>
      </c>
      <c r="W237" s="1532">
        <v>45657</v>
      </c>
      <c r="X237" s="1602" t="s">
        <v>5270</v>
      </c>
      <c r="Y237" s="3068"/>
    </row>
    <row r="238" spans="1:25">
      <c r="A238" s="1513"/>
      <c r="B238" s="1513">
        <v>54</v>
      </c>
      <c r="C238" s="1513" t="s">
        <v>100</v>
      </c>
      <c r="D238" s="1514" t="s">
        <v>187</v>
      </c>
      <c r="E238" s="1515"/>
      <c r="F238" s="1513"/>
      <c r="G238" s="1517"/>
      <c r="H238" s="1513"/>
      <c r="I238" s="1517"/>
      <c r="J238" s="1517"/>
      <c r="K238" s="1603"/>
      <c r="L238" s="1519"/>
      <c r="M238" s="1518"/>
      <c r="N238" s="1519"/>
      <c r="O238" s="1520"/>
      <c r="P238" s="1518"/>
      <c r="Q238" s="1518"/>
      <c r="R238" s="1518"/>
      <c r="S238" s="1518"/>
      <c r="T238" s="1519"/>
      <c r="U238" s="1519"/>
      <c r="V238" s="1522"/>
      <c r="W238" s="1522"/>
      <c r="X238" s="1521"/>
      <c r="Y238" s="1515"/>
    </row>
    <row r="239" spans="1:25">
      <c r="A239" s="1513"/>
      <c r="B239" s="1513">
        <v>5402</v>
      </c>
      <c r="C239" s="1513" t="s">
        <v>101</v>
      </c>
      <c r="D239" s="1517" t="s">
        <v>104</v>
      </c>
      <c r="E239" s="1515"/>
      <c r="F239" s="1513"/>
      <c r="G239" s="1517"/>
      <c r="H239" s="1513"/>
      <c r="I239" s="1517"/>
      <c r="J239" s="1516"/>
      <c r="K239" s="1603"/>
      <c r="L239" s="1519"/>
      <c r="M239" s="1518"/>
      <c r="N239" s="1519"/>
      <c r="O239" s="1520"/>
      <c r="P239" s="1518"/>
      <c r="Q239" s="1518"/>
      <c r="R239" s="1518"/>
      <c r="S239" s="1518"/>
      <c r="T239" s="1519"/>
      <c r="U239" s="1519"/>
      <c r="V239" s="1522"/>
      <c r="W239" s="1522"/>
      <c r="X239" s="1521"/>
      <c r="Y239" s="1515"/>
    </row>
    <row r="240" spans="1:25">
      <c r="A240" s="1480"/>
      <c r="B240" s="1480">
        <v>5402001</v>
      </c>
      <c r="C240" s="1480" t="s">
        <v>102</v>
      </c>
      <c r="D240" s="1523" t="s">
        <v>105</v>
      </c>
      <c r="E240" s="1482"/>
      <c r="F240" s="1480"/>
      <c r="G240" s="1523"/>
      <c r="H240" s="1480"/>
      <c r="I240" s="1523"/>
      <c r="J240" s="1481"/>
      <c r="K240" s="1569"/>
      <c r="L240" s="1519"/>
      <c r="M240" s="1524"/>
      <c r="N240" s="1519"/>
      <c r="O240" s="1525"/>
      <c r="P240" s="1518"/>
      <c r="Q240" s="1518"/>
      <c r="R240" s="1518"/>
      <c r="S240" s="1518"/>
      <c r="T240" s="1519"/>
      <c r="U240" s="1519"/>
      <c r="V240" s="1526"/>
      <c r="W240" s="1526"/>
      <c r="X240" s="1527"/>
      <c r="Y240" s="1482"/>
    </row>
    <row r="241" spans="1:25" ht="51">
      <c r="A241" s="1492"/>
      <c r="B241" s="1542">
        <v>54020010014</v>
      </c>
      <c r="C241" s="1542" t="s">
        <v>103</v>
      </c>
      <c r="D241" s="1528" t="s">
        <v>2307</v>
      </c>
      <c r="E241" s="1494"/>
      <c r="F241" s="1492"/>
      <c r="G241" s="1510"/>
      <c r="H241" s="1492">
        <f>H244</f>
        <v>3</v>
      </c>
      <c r="I241" s="1604"/>
      <c r="J241" s="1493"/>
      <c r="K241" s="1518"/>
      <c r="L241" s="1519"/>
      <c r="M241" s="1529"/>
      <c r="N241" s="1519"/>
      <c r="O241" s="1530"/>
      <c r="P241" s="1518"/>
      <c r="Q241" s="1518"/>
      <c r="R241" s="1518"/>
      <c r="S241" s="1518"/>
      <c r="T241" s="1531"/>
      <c r="U241" s="1531"/>
      <c r="V241" s="1532"/>
      <c r="W241" s="1532"/>
      <c r="X241" s="1511"/>
      <c r="Y241" s="1533"/>
    </row>
    <row r="242" spans="1:25">
      <c r="A242" s="3062">
        <v>4146</v>
      </c>
      <c r="B242" s="3062"/>
      <c r="C242" s="3062" t="s">
        <v>109</v>
      </c>
      <c r="D242" s="3073" t="s">
        <v>2308</v>
      </c>
      <c r="E242" s="1494" t="s">
        <v>2309</v>
      </c>
      <c r="F242" s="1492"/>
      <c r="G242" s="1510"/>
      <c r="H242" s="1492"/>
      <c r="I242" s="1510"/>
      <c r="J242" s="1493"/>
      <c r="K242" s="1547">
        <v>150</v>
      </c>
      <c r="L242" s="1548">
        <v>1</v>
      </c>
      <c r="M242" s="1529"/>
      <c r="N242" s="1505">
        <f>+N243+N244</f>
        <v>0.36499999999999999</v>
      </c>
      <c r="O242" s="3074">
        <f>IF(Q242&gt;0,N242,"na")</f>
        <v>0.36499999999999999</v>
      </c>
      <c r="P242" s="1507">
        <f>+P243+P244</f>
        <v>612639523</v>
      </c>
      <c r="Q242" s="1507">
        <f t="shared" ref="Q242:S242" si="104">+Q243+Q244</f>
        <v>1070152030</v>
      </c>
      <c r="R242" s="1507">
        <f t="shared" si="104"/>
        <v>386099000</v>
      </c>
      <c r="S242" s="1507">
        <f t="shared" si="104"/>
        <v>161010000</v>
      </c>
      <c r="T242" s="1531">
        <f t="shared" ref="T242:U244" si="105">IF(Q242=0,0,R242/Q242)</f>
        <v>0.36078892454187095</v>
      </c>
      <c r="U242" s="1531">
        <f t="shared" si="105"/>
        <v>0.41701739709245556</v>
      </c>
      <c r="V242" s="1532"/>
      <c r="W242" s="1532"/>
      <c r="X242" s="1511"/>
      <c r="Y242" s="3068" t="s">
        <v>2310</v>
      </c>
    </row>
    <row r="243" spans="1:25" ht="54">
      <c r="A243" s="3062"/>
      <c r="B243" s="3062"/>
      <c r="C243" s="3062"/>
      <c r="D243" s="3066"/>
      <c r="E243" s="1494" t="s">
        <v>2311</v>
      </c>
      <c r="F243" s="1492"/>
      <c r="G243" s="1510"/>
      <c r="H243" s="1492"/>
      <c r="I243" s="1510" t="s">
        <v>2312</v>
      </c>
      <c r="J243" s="1510" t="s">
        <v>121</v>
      </c>
      <c r="K243" s="1547">
        <v>6</v>
      </c>
      <c r="L243" s="1548">
        <v>0.5</v>
      </c>
      <c r="M243" s="1506">
        <f>2+1+2</f>
        <v>5</v>
      </c>
      <c r="N243" s="1505">
        <v>0.19</v>
      </c>
      <c r="O243" s="3062"/>
      <c r="P243" s="1507">
        <v>285616800</v>
      </c>
      <c r="Q243" s="1507">
        <v>571776107</v>
      </c>
      <c r="R243" s="1507">
        <v>252442000</v>
      </c>
      <c r="S243" s="1507">
        <v>82038000</v>
      </c>
      <c r="T243" s="1531">
        <f t="shared" si="105"/>
        <v>0.4415049822989543</v>
      </c>
      <c r="U243" s="1531">
        <f t="shared" si="105"/>
        <v>0.32497761862130708</v>
      </c>
      <c r="V243" s="1532">
        <v>45307</v>
      </c>
      <c r="W243" s="1532">
        <v>45657</v>
      </c>
      <c r="X243" s="1511" t="s">
        <v>5271</v>
      </c>
      <c r="Y243" s="3069"/>
    </row>
    <row r="244" spans="1:25" ht="54">
      <c r="A244" s="3062"/>
      <c r="B244" s="3062"/>
      <c r="C244" s="3062"/>
      <c r="D244" s="3066"/>
      <c r="E244" s="1494" t="s">
        <v>2313</v>
      </c>
      <c r="F244" s="1492"/>
      <c r="G244" s="1510" t="s">
        <v>2307</v>
      </c>
      <c r="H244" s="1492">
        <v>3</v>
      </c>
      <c r="I244" s="1510" t="s">
        <v>2314</v>
      </c>
      <c r="J244" s="1510" t="s">
        <v>253</v>
      </c>
      <c r="K244" s="1547">
        <v>150</v>
      </c>
      <c r="L244" s="1548">
        <v>0.5</v>
      </c>
      <c r="M244" s="1506">
        <f>3+37</f>
        <v>40</v>
      </c>
      <c r="N244" s="1505">
        <v>0.17499999999999999</v>
      </c>
      <c r="O244" s="3062"/>
      <c r="P244" s="1507">
        <v>327022723</v>
      </c>
      <c r="Q244" s="1507">
        <v>498375923</v>
      </c>
      <c r="R244" s="1507">
        <v>133657000</v>
      </c>
      <c r="S244" s="1507">
        <v>78972000</v>
      </c>
      <c r="T244" s="1531">
        <f t="shared" si="105"/>
        <v>0.26818510652650451</v>
      </c>
      <c r="U244" s="1531">
        <f t="shared" si="105"/>
        <v>0.59085569779360603</v>
      </c>
      <c r="V244" s="1532">
        <v>45307</v>
      </c>
      <c r="W244" s="1532">
        <v>45657</v>
      </c>
      <c r="X244" s="1511" t="s">
        <v>5272</v>
      </c>
      <c r="Y244" s="3069"/>
    </row>
    <row r="245" spans="1:25" ht="38.25">
      <c r="A245" s="1492"/>
      <c r="B245" s="1542">
        <v>54020010045</v>
      </c>
      <c r="C245" s="1542" t="s">
        <v>103</v>
      </c>
      <c r="D245" s="1528" t="s">
        <v>2315</v>
      </c>
      <c r="E245" s="1494"/>
      <c r="F245" s="1492"/>
      <c r="G245" s="1510"/>
      <c r="H245" s="1492">
        <f>AVERAGE(H247)</f>
        <v>0</v>
      </c>
      <c r="I245" s="1510"/>
      <c r="J245" s="1510"/>
      <c r="K245" s="1518"/>
      <c r="L245" s="1519"/>
      <c r="M245" s="1529"/>
      <c r="N245" s="1519"/>
      <c r="O245" s="1530"/>
      <c r="P245" s="1518"/>
      <c r="Q245" s="1518"/>
      <c r="R245" s="1518"/>
      <c r="S245" s="1518"/>
      <c r="T245" s="1531"/>
      <c r="U245" s="1531"/>
      <c r="V245" s="1532"/>
      <c r="W245" s="1532"/>
      <c r="X245" s="1511"/>
      <c r="Y245" s="1533"/>
    </row>
    <row r="246" spans="1:25">
      <c r="A246" s="3062">
        <v>4146</v>
      </c>
      <c r="B246" s="3062"/>
      <c r="C246" s="3062" t="s">
        <v>109</v>
      </c>
      <c r="D246" s="3073" t="s">
        <v>2316</v>
      </c>
      <c r="E246" s="1494" t="s">
        <v>2317</v>
      </c>
      <c r="F246" s="1492"/>
      <c r="G246" s="1510"/>
      <c r="H246" s="1492"/>
      <c r="I246" s="1510"/>
      <c r="J246" s="1493"/>
      <c r="K246" s="1507">
        <v>1</v>
      </c>
      <c r="L246" s="1505">
        <v>1</v>
      </c>
      <c r="M246" s="1529"/>
      <c r="N246" s="1505">
        <f>+N247</f>
        <v>0.5</v>
      </c>
      <c r="O246" s="3074">
        <f>IF(Q246&gt;0,N246,"na")</f>
        <v>0.5</v>
      </c>
      <c r="P246" s="1507">
        <f>+P247</f>
        <v>1100000000</v>
      </c>
      <c r="Q246" s="1507">
        <f t="shared" ref="Q246:S246" si="106">+Q247</f>
        <v>4200000000</v>
      </c>
      <c r="R246" s="1507">
        <f t="shared" si="106"/>
        <v>2673096000</v>
      </c>
      <c r="S246" s="1507">
        <f t="shared" si="106"/>
        <v>1224429000</v>
      </c>
      <c r="T246" s="1531">
        <f t="shared" ref="T246:U247" si="107">IF(Q246=0,0,R246/Q246)</f>
        <v>0.63645142857142856</v>
      </c>
      <c r="U246" s="1531">
        <f t="shared" si="107"/>
        <v>0.45805650077662757</v>
      </c>
      <c r="V246" s="1532"/>
      <c r="W246" s="1532"/>
      <c r="X246" s="1511"/>
      <c r="Y246" s="3068" t="s">
        <v>2318</v>
      </c>
    </row>
    <row r="247" spans="1:25" ht="94.5">
      <c r="A247" s="3062"/>
      <c r="B247" s="3062"/>
      <c r="C247" s="3062"/>
      <c r="D247" s="3066"/>
      <c r="E247" s="1494" t="s">
        <v>2319</v>
      </c>
      <c r="F247" s="1492"/>
      <c r="G247" s="1510" t="s">
        <v>2315</v>
      </c>
      <c r="H247" s="1578">
        <v>0</v>
      </c>
      <c r="I247" s="1510" t="s">
        <v>2320</v>
      </c>
      <c r="J247" s="1510" t="s">
        <v>125</v>
      </c>
      <c r="K247" s="1507">
        <v>1</v>
      </c>
      <c r="L247" s="1505">
        <v>1</v>
      </c>
      <c r="M247" s="1506">
        <v>0</v>
      </c>
      <c r="N247" s="1505">
        <v>0.5</v>
      </c>
      <c r="O247" s="3062"/>
      <c r="P247" s="1507">
        <v>1100000000</v>
      </c>
      <c r="Q247" s="1507">
        <v>4200000000</v>
      </c>
      <c r="R247" s="1507">
        <v>2673096000</v>
      </c>
      <c r="S247" s="1507">
        <v>1224429000</v>
      </c>
      <c r="T247" s="1531">
        <f t="shared" si="107"/>
        <v>0.63645142857142856</v>
      </c>
      <c r="U247" s="1531">
        <f t="shared" si="107"/>
        <v>0.45805650077662757</v>
      </c>
      <c r="V247" s="1532">
        <v>45307</v>
      </c>
      <c r="W247" s="1532">
        <v>45657</v>
      </c>
      <c r="X247" s="1549" t="s">
        <v>5273</v>
      </c>
      <c r="Y247" s="3069"/>
    </row>
    <row r="248" spans="1:25" ht="49.5">
      <c r="A248" s="1480"/>
      <c r="B248" s="1480">
        <v>5402002</v>
      </c>
      <c r="C248" s="1480" t="s">
        <v>102</v>
      </c>
      <c r="D248" s="1523" t="s">
        <v>2321</v>
      </c>
      <c r="E248" s="1482"/>
      <c r="F248" s="1480"/>
      <c r="G248" s="1523"/>
      <c r="H248" s="1480"/>
      <c r="I248" s="1523"/>
      <c r="J248" s="1523"/>
      <c r="K248" s="1569"/>
      <c r="L248" s="1519"/>
      <c r="M248" s="1524"/>
      <c r="N248" s="1519"/>
      <c r="O248" s="1525"/>
      <c r="P248" s="1518"/>
      <c r="Q248" s="1518"/>
      <c r="R248" s="1518"/>
      <c r="S248" s="1518"/>
      <c r="T248" s="1519"/>
      <c r="U248" s="1519"/>
      <c r="V248" s="1526"/>
      <c r="W248" s="1526"/>
      <c r="X248" s="1527"/>
      <c r="Y248" s="1482"/>
    </row>
    <row r="249" spans="1:25" ht="25.5">
      <c r="A249" s="1492"/>
      <c r="B249" s="1492">
        <v>54020020016</v>
      </c>
      <c r="C249" s="1542" t="s">
        <v>103</v>
      </c>
      <c r="D249" s="1528" t="s">
        <v>2322</v>
      </c>
      <c r="E249" s="1494"/>
      <c r="F249" s="1492"/>
      <c r="G249" s="1510"/>
      <c r="H249" s="1492">
        <f>H252</f>
        <v>0</v>
      </c>
      <c r="I249" s="1510"/>
      <c r="J249" s="1510"/>
      <c r="K249" s="1518"/>
      <c r="L249" s="1519"/>
      <c r="M249" s="1529"/>
      <c r="N249" s="1519"/>
      <c r="O249" s="1530"/>
      <c r="P249" s="1518"/>
      <c r="Q249" s="1518"/>
      <c r="R249" s="1518"/>
      <c r="S249" s="1518"/>
      <c r="T249" s="1531"/>
      <c r="U249" s="1531"/>
      <c r="V249" s="1532"/>
      <c r="W249" s="1532"/>
      <c r="X249" s="1511"/>
      <c r="Y249" s="1533"/>
    </row>
    <row r="250" spans="1:25">
      <c r="A250" s="3070">
        <v>4146</v>
      </c>
      <c r="B250" s="3070"/>
      <c r="C250" s="3070" t="s">
        <v>109</v>
      </c>
      <c r="D250" s="3083" t="s">
        <v>2323</v>
      </c>
      <c r="E250" s="1494" t="s">
        <v>2324</v>
      </c>
      <c r="F250" s="1492"/>
      <c r="G250" s="1510"/>
      <c r="H250" s="1492"/>
      <c r="I250" s="1510"/>
      <c r="J250" s="1510"/>
      <c r="K250" s="1507">
        <v>1</v>
      </c>
      <c r="L250" s="1505">
        <v>1</v>
      </c>
      <c r="M250" s="1529"/>
      <c r="N250" s="1505">
        <f>+N251+N252+N253</f>
        <v>0.5</v>
      </c>
      <c r="O250" s="3091">
        <f>IF(Q250&gt;0,N250,"na")</f>
        <v>0.5</v>
      </c>
      <c r="P250" s="1507">
        <f>+P251+P252</f>
        <v>500000000</v>
      </c>
      <c r="Q250" s="1507">
        <f>+Q251+Q252</f>
        <v>1228386550</v>
      </c>
      <c r="R250" s="1507">
        <f t="shared" ref="R250:S250" si="108">+R251+R252</f>
        <v>426940500</v>
      </c>
      <c r="S250" s="1507">
        <f t="shared" si="108"/>
        <v>158824000</v>
      </c>
      <c r="T250" s="1531">
        <f t="shared" ref="T250:U256" si="109">IF(Q250=0,0,R250/Q250)</f>
        <v>0.3475620113229016</v>
      </c>
      <c r="U250" s="1531">
        <f t="shared" si="109"/>
        <v>0.37200499835457168</v>
      </c>
      <c r="V250" s="1532"/>
      <c r="W250" s="1532"/>
      <c r="X250" s="1511"/>
      <c r="Y250" s="3079" t="s">
        <v>2318</v>
      </c>
    </row>
    <row r="251" spans="1:25" ht="54">
      <c r="A251" s="3071"/>
      <c r="B251" s="3071"/>
      <c r="C251" s="3071"/>
      <c r="D251" s="3084"/>
      <c r="E251" s="1494" t="s">
        <v>2325</v>
      </c>
      <c r="F251" s="1492"/>
      <c r="G251" s="1510"/>
      <c r="H251" s="1492"/>
      <c r="I251" s="1510" t="s">
        <v>2326</v>
      </c>
      <c r="J251" s="1510" t="s">
        <v>110</v>
      </c>
      <c r="K251" s="1507">
        <v>1</v>
      </c>
      <c r="L251" s="1505">
        <v>0.1</v>
      </c>
      <c r="M251" s="1506">
        <v>0</v>
      </c>
      <c r="N251" s="1505">
        <v>0.1</v>
      </c>
      <c r="O251" s="3092"/>
      <c r="P251" s="1507">
        <v>450000000</v>
      </c>
      <c r="Q251" s="1507">
        <v>872718000</v>
      </c>
      <c r="R251" s="1507">
        <v>342061500</v>
      </c>
      <c r="S251" s="1507">
        <v>137424000</v>
      </c>
      <c r="T251" s="1531">
        <f t="shared" si="109"/>
        <v>0.39194963321485293</v>
      </c>
      <c r="U251" s="1531">
        <f t="shared" si="109"/>
        <v>0.40175231646940684</v>
      </c>
      <c r="V251" s="1532">
        <v>45343</v>
      </c>
      <c r="W251" s="1532">
        <v>45657</v>
      </c>
      <c r="X251" s="1549" t="s">
        <v>5274</v>
      </c>
      <c r="Y251" s="3089"/>
    </row>
    <row r="252" spans="1:25" ht="54">
      <c r="A252" s="3071"/>
      <c r="B252" s="3071"/>
      <c r="C252" s="3071"/>
      <c r="D252" s="3084"/>
      <c r="E252" s="1494" t="s">
        <v>2327</v>
      </c>
      <c r="F252" s="1492"/>
      <c r="G252" s="1510" t="s">
        <v>2322</v>
      </c>
      <c r="H252" s="1492">
        <v>0</v>
      </c>
      <c r="I252" s="1510" t="s">
        <v>2328</v>
      </c>
      <c r="J252" s="1510" t="s">
        <v>125</v>
      </c>
      <c r="K252" s="1507">
        <v>1</v>
      </c>
      <c r="L252" s="1505">
        <v>0.8</v>
      </c>
      <c r="M252" s="1506">
        <v>0</v>
      </c>
      <c r="N252" s="1505">
        <v>0.4</v>
      </c>
      <c r="O252" s="3092"/>
      <c r="P252" s="1507">
        <v>50000000</v>
      </c>
      <c r="Q252" s="1507">
        <v>355668550</v>
      </c>
      <c r="R252" s="1507">
        <v>84879000</v>
      </c>
      <c r="S252" s="1507">
        <v>21400000</v>
      </c>
      <c r="T252" s="1531">
        <f t="shared" si="109"/>
        <v>0.23864634643687219</v>
      </c>
      <c r="U252" s="1531">
        <f t="shared" si="109"/>
        <v>0.25212361125837957</v>
      </c>
      <c r="V252" s="1532">
        <v>45307</v>
      </c>
      <c r="W252" s="1532">
        <v>45657</v>
      </c>
      <c r="X252" s="1549" t="s">
        <v>5275</v>
      </c>
      <c r="Y252" s="3089"/>
    </row>
    <row r="253" spans="1:25" ht="27">
      <c r="A253" s="3072"/>
      <c r="B253" s="3072"/>
      <c r="C253" s="3072"/>
      <c r="D253" s="3085"/>
      <c r="E253" s="1494" t="s">
        <v>2329</v>
      </c>
      <c r="F253" s="1492"/>
      <c r="G253" s="1510"/>
      <c r="H253" s="1492"/>
      <c r="I253" s="1510" t="s">
        <v>2330</v>
      </c>
      <c r="J253" s="1510" t="s">
        <v>253</v>
      </c>
      <c r="K253" s="1507">
        <v>10</v>
      </c>
      <c r="L253" s="1505">
        <v>0.1</v>
      </c>
      <c r="M253" s="1506">
        <v>0</v>
      </c>
      <c r="N253" s="1505">
        <v>0</v>
      </c>
      <c r="O253" s="3093"/>
      <c r="P253" s="1507"/>
      <c r="Q253" s="1507"/>
      <c r="R253" s="1507"/>
      <c r="S253" s="1507"/>
      <c r="T253" s="1531"/>
      <c r="U253" s="1531"/>
      <c r="V253" s="1532"/>
      <c r="W253" s="1532"/>
      <c r="X253" s="1549"/>
      <c r="Y253" s="3080"/>
    </row>
    <row r="254" spans="1:25">
      <c r="A254" s="3062">
        <v>4146</v>
      </c>
      <c r="B254" s="3062"/>
      <c r="C254" s="3062" t="s">
        <v>109</v>
      </c>
      <c r="D254" s="3073" t="s">
        <v>2331</v>
      </c>
      <c r="E254" s="1494" t="s">
        <v>2332</v>
      </c>
      <c r="F254" s="1492"/>
      <c r="G254" s="1510"/>
      <c r="H254" s="1492"/>
      <c r="I254" s="1510"/>
      <c r="J254" s="1493"/>
      <c r="K254" s="1547">
        <v>1</v>
      </c>
      <c r="L254" s="1548">
        <v>1</v>
      </c>
      <c r="M254" s="1547"/>
      <c r="N254" s="1505">
        <f>+N255+N256</f>
        <v>0</v>
      </c>
      <c r="O254" s="3074">
        <f>IF(Q254&gt;0,N254,"na")</f>
        <v>0</v>
      </c>
      <c r="P254" s="1507">
        <f>+P255+P256</f>
        <v>271857600</v>
      </c>
      <c r="Q254" s="1507">
        <f>+Q255+Q256</f>
        <v>624825660</v>
      </c>
      <c r="R254" s="1507">
        <f t="shared" ref="R254:S254" si="110">+R255+R256</f>
        <v>0</v>
      </c>
      <c r="S254" s="1507">
        <f t="shared" si="110"/>
        <v>0</v>
      </c>
      <c r="T254" s="1531">
        <f t="shared" si="109"/>
        <v>0</v>
      </c>
      <c r="U254" s="1531">
        <f t="shared" si="109"/>
        <v>0</v>
      </c>
      <c r="V254" s="1532"/>
      <c r="W254" s="1532"/>
      <c r="X254" s="1511"/>
      <c r="Y254" s="3068" t="s">
        <v>2310</v>
      </c>
    </row>
    <row r="255" spans="1:25" ht="27">
      <c r="A255" s="3062"/>
      <c r="B255" s="3062"/>
      <c r="C255" s="3062"/>
      <c r="D255" s="3066"/>
      <c r="E255" s="1494" t="s">
        <v>2333</v>
      </c>
      <c r="F255" s="1492"/>
      <c r="G255" s="1510"/>
      <c r="H255" s="1492"/>
      <c r="I255" s="1510" t="s">
        <v>2334</v>
      </c>
      <c r="J255" s="1510" t="s">
        <v>2335</v>
      </c>
      <c r="K255" s="1547">
        <v>1</v>
      </c>
      <c r="L255" s="1548">
        <v>0.6</v>
      </c>
      <c r="M255" s="1506">
        <v>0</v>
      </c>
      <c r="N255" s="1505">
        <v>0</v>
      </c>
      <c r="O255" s="3062"/>
      <c r="P255" s="1507">
        <v>117709200</v>
      </c>
      <c r="Q255" s="1507">
        <v>228982287</v>
      </c>
      <c r="R255" s="1507">
        <v>0</v>
      </c>
      <c r="S255" s="1507">
        <v>0</v>
      </c>
      <c r="T255" s="1531">
        <f t="shared" si="109"/>
        <v>0</v>
      </c>
      <c r="U255" s="1531">
        <f t="shared" si="109"/>
        <v>0</v>
      </c>
      <c r="V255" s="1532"/>
      <c r="W255" s="1532"/>
      <c r="X255" s="1511"/>
      <c r="Y255" s="3069"/>
    </row>
    <row r="256" spans="1:25" ht="40.5">
      <c r="A256" s="3101"/>
      <c r="B256" s="3101"/>
      <c r="C256" s="3101"/>
      <c r="D256" s="3108"/>
      <c r="E256" s="1606" t="s">
        <v>2336</v>
      </c>
      <c r="F256" s="1605"/>
      <c r="G256" s="1607"/>
      <c r="H256" s="1605"/>
      <c r="I256" s="1607" t="s">
        <v>2337</v>
      </c>
      <c r="J256" s="1607" t="s">
        <v>122</v>
      </c>
      <c r="K256" s="1608">
        <v>1</v>
      </c>
      <c r="L256" s="1609">
        <v>0.4</v>
      </c>
      <c r="M256" s="1610">
        <v>0</v>
      </c>
      <c r="N256" s="1611">
        <v>0</v>
      </c>
      <c r="O256" s="3101"/>
      <c r="P256" s="1612">
        <v>154148400</v>
      </c>
      <c r="Q256" s="1612">
        <v>395843373</v>
      </c>
      <c r="R256" s="1612">
        <v>0</v>
      </c>
      <c r="S256" s="1612">
        <v>0</v>
      </c>
      <c r="T256" s="1613">
        <f t="shared" si="109"/>
        <v>0</v>
      </c>
      <c r="U256" s="1613">
        <f t="shared" si="109"/>
        <v>0</v>
      </c>
      <c r="V256" s="1532"/>
      <c r="W256" s="1532"/>
      <c r="X256" s="1614"/>
      <c r="Y256" s="3109"/>
    </row>
    <row r="257" spans="1:25">
      <c r="A257" s="572"/>
      <c r="B257" s="572"/>
      <c r="C257" s="572"/>
      <c r="D257" s="573"/>
      <c r="E257" s="572"/>
      <c r="F257" s="574"/>
      <c r="G257" s="575"/>
      <c r="H257" s="574"/>
      <c r="I257" s="575"/>
      <c r="J257" s="576"/>
      <c r="K257" s="574"/>
      <c r="L257" s="574"/>
      <c r="M257" s="574"/>
      <c r="N257" s="574"/>
      <c r="O257" s="574"/>
      <c r="P257"/>
      <c r="Q257"/>
      <c r="R257"/>
      <c r="S257"/>
      <c r="T257" s="577"/>
      <c r="U257" s="577"/>
      <c r="V257" s="573"/>
      <c r="W257" s="578"/>
      <c r="X257" s="349"/>
      <c r="Y257" s="349"/>
    </row>
    <row r="258" spans="1:25">
      <c r="A258" s="579"/>
      <c r="B258" s="579" t="s">
        <v>36</v>
      </c>
      <c r="C258" s="579">
        <f>COUNTIF(C7:C256,"Pr")</f>
        <v>60</v>
      </c>
      <c r="D258" s="580"/>
      <c r="E258" s="350" t="s">
        <v>112</v>
      </c>
      <c r="F258" s="44"/>
      <c r="G258" s="581">
        <f>COUNTIF(O7:O256,"na")-A259</f>
        <v>0</v>
      </c>
      <c r="H258" s="582"/>
      <c r="I258" s="583"/>
      <c r="J258" s="584"/>
      <c r="K258" s="582"/>
      <c r="L258" s="582"/>
      <c r="M258" s="582"/>
      <c r="N258" s="46" t="s">
        <v>503</v>
      </c>
      <c r="O258" s="585">
        <f>+AVERAGE(O7:O256)</f>
        <v>0.17881355932203385</v>
      </c>
      <c r="P258" s="1615">
        <f>+P254+P250+P246+P242+P235+P231+P225+P220+P216+P212+P208+P205+P201+P196+P191+P187+P182+P178+P174+P169+P164+P159+P156+P151+P148+P145+P141+P136+P132+P129+P126+P121+P116+P112+P108+P103+P99+P95+P91+P86+P82+P79+P73+P70+P67+P63+P60+P57+P53+P49+P46+P42+P39+P35+P31+P27+P23+P18+P11+P139</f>
        <v>134598808941</v>
      </c>
      <c r="Q258" s="1615">
        <f>+Q254+Q250+Q246+Q242+Q235+Q231+Q225+Q220+Q216+Q212+Q208+Q205+Q201+Q196+Q191+Q187+Q182+Q178+Q174+Q169+Q164+Q159+Q156+Q151+Q148+Q145+Q141+Q136+Q132+Q129+Q126+Q121+Q116+Q112+Q108+Q103+Q99+Q95+Q91+Q86+Q82+Q79+Q73+Q70+Q67+Q63+Q60+Q57+Q53+Q49+Q46+Q42+Q39+Q35+Q31+Q27+Q23+Q18+Q11+Q139</f>
        <v>226600766024</v>
      </c>
      <c r="R258" s="1615">
        <f>+R254+R250+R246+R242+R235+R231+R225+R220+R216+R212+R208+R205+R201+R196+R191+R187+R182+R178+R174+R169+R164+R159+R156+R151+R148+R145+R141+R136+R132+R129+R126+R121+R116+R112+R108+R103+R99+R95+R91+R86+R82+R79+R73+R70+R67+R63+R60+R57+R53+R49+R46+R42+R39+R35+R31+R27+R23+R18+R11+R139</f>
        <v>107318534896</v>
      </c>
      <c r="S258" s="1615">
        <f>+S254+S250+S246+S242+S235+S231+S225+S220+S216+S212+S208+S205+S201+S196+S191+S187+S182+S178+S174+S169+S164+S159+S156+S151+S148+S145+S141+S136+S132+S129+S126+S121+S116+S112+S108+S103+S99+S95+S91+S86+S82+S79+S73+S70+S67+S63+S60+S57+S53+S49+S46+S42+S39+S35+S31+S27+S23+S18+S11+S139</f>
        <v>19752007830</v>
      </c>
      <c r="T258" s="586">
        <f>+R258/Q258</f>
        <v>0.4736018186480162</v>
      </c>
      <c r="U258" s="586">
        <f>+S258/R258</f>
        <v>0.18405029335464959</v>
      </c>
      <c r="V258" s="580"/>
      <c r="W258" s="579"/>
      <c r="X258" s="587"/>
      <c r="Y258" s="351"/>
    </row>
    <row r="259" spans="1:25">
      <c r="A259" s="579"/>
      <c r="B259" s="579"/>
      <c r="C259" s="579"/>
      <c r="D259" s="580"/>
      <c r="E259" s="579"/>
      <c r="F259" s="582"/>
      <c r="G259" s="583"/>
      <c r="H259" s="582"/>
      <c r="I259" s="583"/>
      <c r="J259" s="584"/>
      <c r="K259" s="582"/>
      <c r="L259" s="582"/>
      <c r="M259" s="582"/>
      <c r="N259" s="553" t="s">
        <v>119</v>
      </c>
      <c r="O259" s="554">
        <f>COUNTIF(O11:O256,"=0%")</f>
        <v>23</v>
      </c>
      <c r="P259" s="1616">
        <v>134598808941</v>
      </c>
      <c r="Q259" s="1616">
        <v>226600766024</v>
      </c>
      <c r="R259" s="1616">
        <v>107318534896</v>
      </c>
      <c r="S259" s="1616">
        <v>19752007830</v>
      </c>
      <c r="T259" s="580"/>
      <c r="U259" s="580"/>
      <c r="V259" s="580"/>
      <c r="W259" s="579"/>
      <c r="X259" s="587"/>
      <c r="Y259" s="351"/>
    </row>
    <row r="260" spans="1:25">
      <c r="A260" s="615"/>
      <c r="B260" s="616"/>
      <c r="C260" s="615"/>
      <c r="D260" s="620"/>
      <c r="E260" s="620"/>
      <c r="F260" s="620"/>
      <c r="G260" s="620"/>
      <c r="H260" s="620"/>
      <c r="I260" s="620"/>
      <c r="J260" s="1617"/>
      <c r="K260" s="1618"/>
      <c r="L260" s="1618"/>
      <c r="M260" s="620"/>
      <c r="N260" s="620"/>
      <c r="O260" s="620"/>
      <c r="P260" s="620"/>
      <c r="Q260" s="620"/>
      <c r="R260" s="620"/>
      <c r="S260" s="620"/>
      <c r="T260" s="620"/>
      <c r="U260" s="620"/>
      <c r="V260" s="620"/>
      <c r="W260" s="620"/>
      <c r="X260" s="617"/>
      <c r="Y260" s="620"/>
    </row>
    <row r="261" spans="1:25">
      <c r="A261" s="595"/>
      <c r="B261" s="596"/>
      <c r="C261" s="595"/>
      <c r="D261" s="597"/>
      <c r="E261" s="597"/>
      <c r="F261" s="597"/>
      <c r="G261" s="597"/>
      <c r="H261" s="597"/>
      <c r="I261" s="597"/>
      <c r="J261" s="598"/>
      <c r="K261" s="599"/>
      <c r="L261" s="599"/>
      <c r="M261" s="597"/>
      <c r="N261" s="597"/>
      <c r="O261" s="597"/>
      <c r="P261" s="1616"/>
      <c r="Q261" s="1616"/>
      <c r="R261" s="1616"/>
      <c r="S261" s="1616"/>
      <c r="T261" s="597"/>
      <c r="U261" s="597"/>
      <c r="V261" s="597"/>
      <c r="W261" s="597"/>
      <c r="X261" s="601"/>
      <c r="Y261" s="597"/>
    </row>
    <row r="262" spans="1:25">
      <c r="A262" s="615"/>
      <c r="B262" s="616"/>
      <c r="C262" s="615"/>
      <c r="D262" s="620"/>
      <c r="E262" s="620"/>
      <c r="F262" s="620"/>
      <c r="G262" s="620"/>
      <c r="H262" s="620"/>
      <c r="I262" s="620"/>
      <c r="J262" s="1617"/>
      <c r="K262" s="1618"/>
      <c r="L262" s="1618"/>
      <c r="M262" s="620"/>
      <c r="N262" s="620"/>
      <c r="O262" s="620"/>
      <c r="P262" s="1619"/>
      <c r="Q262" s="1619"/>
      <c r="R262" s="1619"/>
      <c r="S262" s="1619"/>
      <c r="T262" s="620"/>
      <c r="U262" s="620"/>
      <c r="V262" s="620"/>
      <c r="W262" s="620"/>
      <c r="X262" s="617"/>
      <c r="Y262" s="620"/>
    </row>
  </sheetData>
  <autoFilter ref="A5:Y6" xr:uid="{00000000-0009-0000-0000-00000E000000}"/>
  <mergeCells count="386">
    <mergeCell ref="D225:D227"/>
    <mergeCell ref="O225:O227"/>
    <mergeCell ref="Y225:Y227"/>
    <mergeCell ref="D231:D233"/>
    <mergeCell ref="O231:O233"/>
    <mergeCell ref="Y231:Y233"/>
    <mergeCell ref="D216:D218"/>
    <mergeCell ref="O216:O218"/>
    <mergeCell ref="D254:D256"/>
    <mergeCell ref="O254:O256"/>
    <mergeCell ref="Y254:Y256"/>
    <mergeCell ref="Y235:Y237"/>
    <mergeCell ref="D242:D244"/>
    <mergeCell ref="O242:O244"/>
    <mergeCell ref="Y242:Y244"/>
    <mergeCell ref="D246:D247"/>
    <mergeCell ref="O246:O247"/>
    <mergeCell ref="Y246:Y247"/>
    <mergeCell ref="D250:D253"/>
    <mergeCell ref="O250:O253"/>
    <mergeCell ref="Y250:Y253"/>
    <mergeCell ref="D235:D237"/>
    <mergeCell ref="O235:O237"/>
    <mergeCell ref="D212:D215"/>
    <mergeCell ref="O212:O215"/>
    <mergeCell ref="Y212:Y215"/>
    <mergeCell ref="Y208:Y210"/>
    <mergeCell ref="D208:D210"/>
    <mergeCell ref="O208:O210"/>
    <mergeCell ref="Y216:Y218"/>
    <mergeCell ref="D220:D221"/>
    <mergeCell ref="O220:O223"/>
    <mergeCell ref="Y220:Y223"/>
    <mergeCell ref="Y182:Y184"/>
    <mergeCell ref="Y178:Y180"/>
    <mergeCell ref="G188:G189"/>
    <mergeCell ref="G192:G193"/>
    <mergeCell ref="D196:D198"/>
    <mergeCell ref="O196:O198"/>
    <mergeCell ref="Y196:Y198"/>
    <mergeCell ref="D205:D207"/>
    <mergeCell ref="O205:O207"/>
    <mergeCell ref="Y205:Y207"/>
    <mergeCell ref="D164:D166"/>
    <mergeCell ref="O164:O166"/>
    <mergeCell ref="Y164:Y166"/>
    <mergeCell ref="D151:D153"/>
    <mergeCell ref="O151:O153"/>
    <mergeCell ref="O169:O171"/>
    <mergeCell ref="Y169:Y171"/>
    <mergeCell ref="D174:D176"/>
    <mergeCell ref="O174:O176"/>
    <mergeCell ref="Y174:Y176"/>
    <mergeCell ref="X175:X176"/>
    <mergeCell ref="D145:D147"/>
    <mergeCell ref="O145:O147"/>
    <mergeCell ref="Y145:Y147"/>
    <mergeCell ref="Y151:Y153"/>
    <mergeCell ref="D156:D157"/>
    <mergeCell ref="O156:O157"/>
    <mergeCell ref="Y156:Y157"/>
    <mergeCell ref="D159:D162"/>
    <mergeCell ref="O159:O162"/>
    <mergeCell ref="Y159:Y162"/>
    <mergeCell ref="D136:D137"/>
    <mergeCell ref="Y136:Y137"/>
    <mergeCell ref="D126:D127"/>
    <mergeCell ref="O126:O127"/>
    <mergeCell ref="D139:D140"/>
    <mergeCell ref="O139:O140"/>
    <mergeCell ref="Y139:Y140"/>
    <mergeCell ref="D141:D142"/>
    <mergeCell ref="O141:O142"/>
    <mergeCell ref="Y141:Y142"/>
    <mergeCell ref="D99:D101"/>
    <mergeCell ref="O99:O101"/>
    <mergeCell ref="Y99:Y101"/>
    <mergeCell ref="Y126:Y127"/>
    <mergeCell ref="D129:D130"/>
    <mergeCell ref="O129:O130"/>
    <mergeCell ref="Y129:Y130"/>
    <mergeCell ref="D132:D134"/>
    <mergeCell ref="O132:O134"/>
    <mergeCell ref="Y132:Y134"/>
    <mergeCell ref="Y79:Y80"/>
    <mergeCell ref="O82:O84"/>
    <mergeCell ref="Y82:Y84"/>
    <mergeCell ref="D83:D84"/>
    <mergeCell ref="D91:D93"/>
    <mergeCell ref="O91:O93"/>
    <mergeCell ref="Y91:Y93"/>
    <mergeCell ref="D95:D96"/>
    <mergeCell ref="O95:O96"/>
    <mergeCell ref="Y95:Y96"/>
    <mergeCell ref="Y60:Y61"/>
    <mergeCell ref="D63:D65"/>
    <mergeCell ref="O63:O65"/>
    <mergeCell ref="Y63:Y65"/>
    <mergeCell ref="D67:D68"/>
    <mergeCell ref="O67:O68"/>
    <mergeCell ref="Y67:Y68"/>
    <mergeCell ref="D70:D71"/>
    <mergeCell ref="O70:O71"/>
    <mergeCell ref="Y70:Y71"/>
    <mergeCell ref="Y42:Y44"/>
    <mergeCell ref="D46:D47"/>
    <mergeCell ref="O46:O47"/>
    <mergeCell ref="Y46:Y47"/>
    <mergeCell ref="D49:D51"/>
    <mergeCell ref="O49:O51"/>
    <mergeCell ref="Y49:Y51"/>
    <mergeCell ref="D53:D55"/>
    <mergeCell ref="O53:O55"/>
    <mergeCell ref="Y53:Y55"/>
    <mergeCell ref="A254:A256"/>
    <mergeCell ref="B254:B256"/>
    <mergeCell ref="C254:C256"/>
    <mergeCell ref="D18:D20"/>
    <mergeCell ref="O18:O20"/>
    <mergeCell ref="Y18:Y20"/>
    <mergeCell ref="W19:W20"/>
    <mergeCell ref="D23:D25"/>
    <mergeCell ref="O23:O25"/>
    <mergeCell ref="Y23:Y25"/>
    <mergeCell ref="D27:D29"/>
    <mergeCell ref="O27:O29"/>
    <mergeCell ref="Y27:Y29"/>
    <mergeCell ref="D31:D33"/>
    <mergeCell ref="O31:O33"/>
    <mergeCell ref="Y31:Y33"/>
    <mergeCell ref="D35:D37"/>
    <mergeCell ref="O35:O37"/>
    <mergeCell ref="Y35:Y37"/>
    <mergeCell ref="D39:D40"/>
    <mergeCell ref="O39:O40"/>
    <mergeCell ref="Y39:Y40"/>
    <mergeCell ref="A246:A247"/>
    <mergeCell ref="B246:B247"/>
    <mergeCell ref="C246:C247"/>
    <mergeCell ref="A250:A253"/>
    <mergeCell ref="B250:B253"/>
    <mergeCell ref="C250:C253"/>
    <mergeCell ref="A235:A237"/>
    <mergeCell ref="B235:B237"/>
    <mergeCell ref="C235:C237"/>
    <mergeCell ref="A242:A244"/>
    <mergeCell ref="B242:B244"/>
    <mergeCell ref="C242:C244"/>
    <mergeCell ref="A132:A134"/>
    <mergeCell ref="B132:B134"/>
    <mergeCell ref="C132:C134"/>
    <mergeCell ref="A225:A227"/>
    <mergeCell ref="B225:B227"/>
    <mergeCell ref="C225:C227"/>
    <mergeCell ref="A231:A233"/>
    <mergeCell ref="B231:B233"/>
    <mergeCell ref="C231:C233"/>
    <mergeCell ref="A205:A207"/>
    <mergeCell ref="B205:B207"/>
    <mergeCell ref="C205:C207"/>
    <mergeCell ref="B212:B215"/>
    <mergeCell ref="C212:C215"/>
    <mergeCell ref="A216:A218"/>
    <mergeCell ref="B216:B218"/>
    <mergeCell ref="C216:C218"/>
    <mergeCell ref="A220:A221"/>
    <mergeCell ref="B220:B221"/>
    <mergeCell ref="C220:C221"/>
    <mergeCell ref="A212:A213"/>
    <mergeCell ref="A208:A210"/>
    <mergeCell ref="B208:B210"/>
    <mergeCell ref="C208:C210"/>
    <mergeCell ref="V19:V20"/>
    <mergeCell ref="A23:A25"/>
    <mergeCell ref="B23:B25"/>
    <mergeCell ref="C23:C25"/>
    <mergeCell ref="A60:A61"/>
    <mergeCell ref="B60:B61"/>
    <mergeCell ref="C60:C61"/>
    <mergeCell ref="A63:A65"/>
    <mergeCell ref="B63:B65"/>
    <mergeCell ref="C63:C65"/>
    <mergeCell ref="D60:D61"/>
    <mergeCell ref="O60:O61"/>
    <mergeCell ref="A53:A55"/>
    <mergeCell ref="B53:B55"/>
    <mergeCell ref="C53:C55"/>
    <mergeCell ref="A57:A58"/>
    <mergeCell ref="B57:B58"/>
    <mergeCell ref="A201:A203"/>
    <mergeCell ref="B201:B203"/>
    <mergeCell ref="C201:C203"/>
    <mergeCell ref="D201:D203"/>
    <mergeCell ref="O201:O203"/>
    <mergeCell ref="Y201:Y203"/>
    <mergeCell ref="A196:A198"/>
    <mergeCell ref="B196:B198"/>
    <mergeCell ref="C196:C198"/>
    <mergeCell ref="B191:B193"/>
    <mergeCell ref="C191:C193"/>
    <mergeCell ref="D191:D193"/>
    <mergeCell ref="O191:O193"/>
    <mergeCell ref="Y191:Y193"/>
    <mergeCell ref="B187:B189"/>
    <mergeCell ref="C187:C189"/>
    <mergeCell ref="D187:D189"/>
    <mergeCell ref="O187:O189"/>
    <mergeCell ref="Y187:Y189"/>
    <mergeCell ref="A178:A180"/>
    <mergeCell ref="B178:B180"/>
    <mergeCell ref="C178:C180"/>
    <mergeCell ref="D178:D180"/>
    <mergeCell ref="O178:O180"/>
    <mergeCell ref="A182:A184"/>
    <mergeCell ref="B182:B184"/>
    <mergeCell ref="C182:C184"/>
    <mergeCell ref="B169:B171"/>
    <mergeCell ref="C169:C171"/>
    <mergeCell ref="A174:A176"/>
    <mergeCell ref="B174:B176"/>
    <mergeCell ref="C174:C176"/>
    <mergeCell ref="D169:D171"/>
    <mergeCell ref="D182:D184"/>
    <mergeCell ref="O182:O184"/>
    <mergeCell ref="A159:A162"/>
    <mergeCell ref="B159:B162"/>
    <mergeCell ref="C159:C162"/>
    <mergeCell ref="A164:A166"/>
    <mergeCell ref="B164:B166"/>
    <mergeCell ref="C164:C166"/>
    <mergeCell ref="A151:A153"/>
    <mergeCell ref="B151:B153"/>
    <mergeCell ref="C151:C153"/>
    <mergeCell ref="A156:A157"/>
    <mergeCell ref="B156:B157"/>
    <mergeCell ref="C156:C157"/>
    <mergeCell ref="Y148:Y149"/>
    <mergeCell ref="B136:B137"/>
    <mergeCell ref="C136:C137"/>
    <mergeCell ref="B139:B140"/>
    <mergeCell ref="C139:C140"/>
    <mergeCell ref="A141:A142"/>
    <mergeCell ref="B141:B142"/>
    <mergeCell ref="C141:C142"/>
    <mergeCell ref="B121:B125"/>
    <mergeCell ref="C121:C125"/>
    <mergeCell ref="A126:A127"/>
    <mergeCell ref="B126:B127"/>
    <mergeCell ref="C126:C127"/>
    <mergeCell ref="A145:A147"/>
    <mergeCell ref="B145:B147"/>
    <mergeCell ref="C145:C147"/>
    <mergeCell ref="A148:A149"/>
    <mergeCell ref="B148:B149"/>
    <mergeCell ref="C148:C149"/>
    <mergeCell ref="D148:D149"/>
    <mergeCell ref="O148:O149"/>
    <mergeCell ref="A129:A130"/>
    <mergeCell ref="B129:B130"/>
    <mergeCell ref="C129:C130"/>
    <mergeCell ref="A116:A118"/>
    <mergeCell ref="B116:B118"/>
    <mergeCell ref="C116:C118"/>
    <mergeCell ref="D116:D118"/>
    <mergeCell ref="O116:O118"/>
    <mergeCell ref="Y116:Y118"/>
    <mergeCell ref="D121:D125"/>
    <mergeCell ref="O122:O125"/>
    <mergeCell ref="A112:A114"/>
    <mergeCell ref="B112:B114"/>
    <mergeCell ref="C112:C114"/>
    <mergeCell ref="Y108:Y110"/>
    <mergeCell ref="D112:D114"/>
    <mergeCell ref="O112:O114"/>
    <mergeCell ref="Y112:Y114"/>
    <mergeCell ref="Y103:Y105"/>
    <mergeCell ref="A91:A93"/>
    <mergeCell ref="B91:B93"/>
    <mergeCell ref="C91:C93"/>
    <mergeCell ref="A95:A96"/>
    <mergeCell ref="B95:B96"/>
    <mergeCell ref="C95:C96"/>
    <mergeCell ref="A99:A101"/>
    <mergeCell ref="B99:B101"/>
    <mergeCell ref="C99:C101"/>
    <mergeCell ref="A103:A105"/>
    <mergeCell ref="B103:B105"/>
    <mergeCell ref="C103:C105"/>
    <mergeCell ref="A108:A110"/>
    <mergeCell ref="B108:B110"/>
    <mergeCell ref="C108:C110"/>
    <mergeCell ref="D103:D105"/>
    <mergeCell ref="O103:O105"/>
    <mergeCell ref="D108:D110"/>
    <mergeCell ref="O108:O110"/>
    <mergeCell ref="Y86:Y89"/>
    <mergeCell ref="B73:B75"/>
    <mergeCell ref="C73:C75"/>
    <mergeCell ref="A79:A80"/>
    <mergeCell ref="B79:B80"/>
    <mergeCell ref="C79:C80"/>
    <mergeCell ref="A67:A68"/>
    <mergeCell ref="B67:B68"/>
    <mergeCell ref="C67:C68"/>
    <mergeCell ref="A70:A71"/>
    <mergeCell ref="B70:B71"/>
    <mergeCell ref="C70:C71"/>
    <mergeCell ref="B83:B84"/>
    <mergeCell ref="C83:C84"/>
    <mergeCell ref="A86:A89"/>
    <mergeCell ref="B86:B89"/>
    <mergeCell ref="C86:C89"/>
    <mergeCell ref="D86:D89"/>
    <mergeCell ref="O86:O89"/>
    <mergeCell ref="D73:D75"/>
    <mergeCell ref="O73:O75"/>
    <mergeCell ref="Y73:Y75"/>
    <mergeCell ref="D79:D80"/>
    <mergeCell ref="O79:O80"/>
    <mergeCell ref="C57:C58"/>
    <mergeCell ref="D57:D58"/>
    <mergeCell ref="Y57:Y58"/>
    <mergeCell ref="A46:A47"/>
    <mergeCell ref="B46:B47"/>
    <mergeCell ref="C46:C47"/>
    <mergeCell ref="A49:A51"/>
    <mergeCell ref="B49:B51"/>
    <mergeCell ref="C49:C51"/>
    <mergeCell ref="A39:A40"/>
    <mergeCell ref="B39:B40"/>
    <mergeCell ref="C39:C40"/>
    <mergeCell ref="A42:A44"/>
    <mergeCell ref="B42:B44"/>
    <mergeCell ref="C42:C44"/>
    <mergeCell ref="D42:D44"/>
    <mergeCell ref="O42:O44"/>
    <mergeCell ref="A31:A33"/>
    <mergeCell ref="B31:B33"/>
    <mergeCell ref="C31:C33"/>
    <mergeCell ref="A35:A37"/>
    <mergeCell ref="B35:B37"/>
    <mergeCell ref="C35:C37"/>
    <mergeCell ref="A27:A29"/>
    <mergeCell ref="B27:B29"/>
    <mergeCell ref="C27:C29"/>
    <mergeCell ref="A2:Y2"/>
    <mergeCell ref="R5:R6"/>
    <mergeCell ref="L5:L6"/>
    <mergeCell ref="S3:U3"/>
    <mergeCell ref="N5:N6"/>
    <mergeCell ref="Y5:Y6"/>
    <mergeCell ref="V5:V6"/>
    <mergeCell ref="P5:P6"/>
    <mergeCell ref="A18:A19"/>
    <mergeCell ref="B18:B19"/>
    <mergeCell ref="A11:A13"/>
    <mergeCell ref="B11:B13"/>
    <mergeCell ref="C11:C13"/>
    <mergeCell ref="D11:D13"/>
    <mergeCell ref="O11:O13"/>
    <mergeCell ref="Y11:Y13"/>
    <mergeCell ref="C18:C20"/>
    <mergeCell ref="M5:M6"/>
    <mergeCell ref="C3:R3"/>
    <mergeCell ref="E5:E6"/>
    <mergeCell ref="C5:C6"/>
    <mergeCell ref="G5:G6"/>
    <mergeCell ref="F5:F6"/>
    <mergeCell ref="D5:D6"/>
    <mergeCell ref="J5:J6"/>
    <mergeCell ref="A1:X1"/>
    <mergeCell ref="S5:S6"/>
    <mergeCell ref="T5:T6"/>
    <mergeCell ref="U5:U6"/>
    <mergeCell ref="K5:K6"/>
    <mergeCell ref="A3:B3"/>
    <mergeCell ref="V3:W3"/>
    <mergeCell ref="A4:Y4"/>
    <mergeCell ref="W5:W6"/>
    <mergeCell ref="I5:I6"/>
    <mergeCell ref="X5:X6"/>
    <mergeCell ref="A5:A6"/>
    <mergeCell ref="B5:B6"/>
    <mergeCell ref="H5:H6"/>
    <mergeCell ref="Q5:Q6"/>
    <mergeCell ref="O5:O6"/>
  </mergeCells>
  <conditionalFormatting sqref="M12:N221">
    <cfRule type="expression" dxfId="3" priority="1">
      <formula>$R12=0</formula>
    </cfRule>
  </conditionalFormatting>
  <conditionalFormatting sqref="V12:X18 E12:E56 V19:W19 X20 V21:X54 V55:W55 V176:W176 V177:X256 F193 E211:E256 M224:N256">
    <cfRule type="expression" dxfId="2" priority="3">
      <formula>$R12=0</formula>
    </cfRule>
  </conditionalFormatting>
  <conditionalFormatting sqref="V56:X175 E58:E207 H193:K193">
    <cfRule type="expression" dxfId="1" priority="2">
      <formula>$R56=0</formula>
    </cfRule>
  </conditionalFormatting>
  <dataValidations count="1">
    <dataValidation type="textLength" allowBlank="1" showInputMessage="1" showErrorMessage="1" errorTitle="Por favor" error="Si estás ingresando poco contenido a la descripción, detalla más._x000a_Si estás ingresando mucho contenido a la descripción, sintetiza más._x000a__x000a_Muchas gracias!" sqref="X236" xr:uid="{31B296F3-F6E5-4AC3-ABB8-4E65B8A94538}">
      <formula1>10</formula1>
      <formula2>600</formula2>
    </dataValidation>
  </dataValidation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72"/>
  <sheetViews>
    <sheetView topLeftCell="D69" zoomScale="70" zoomScaleNormal="70" zoomScaleSheetLayoutView="100" workbookViewId="0">
      <selection activeCell="B71" sqref="B71:C71"/>
    </sheetView>
  </sheetViews>
  <sheetFormatPr baseColWidth="10" defaultColWidth="11.42578125" defaultRowHeight="16.5"/>
  <cols>
    <col min="1" max="1" width="13" style="2" customWidth="1"/>
    <col min="2" max="2" width="10.85546875" style="3" customWidth="1"/>
    <col min="3" max="3" width="8.5703125" style="2" customWidth="1"/>
    <col min="4" max="4" width="46.42578125" style="3" customWidth="1"/>
    <col min="5" max="5" width="15" style="3" customWidth="1"/>
    <col min="6" max="6" width="12.42578125" style="3" customWidth="1"/>
    <col min="7" max="7" width="18" style="3" customWidth="1"/>
    <col min="8" max="8" width="12.42578125" style="3" customWidth="1"/>
    <col min="9" max="9" width="23.5703125" style="3" customWidth="1"/>
    <col min="10" max="10" width="17.5703125" style="2" customWidth="1"/>
    <col min="11" max="12" width="13.140625" style="16" customWidth="1"/>
    <col min="13" max="13" width="12.7109375" style="16" customWidth="1"/>
    <col min="14" max="14" width="11.7109375" style="3" customWidth="1"/>
    <col min="15" max="15" width="12.7109375" style="2" customWidth="1"/>
    <col min="16" max="18" width="19.140625" style="3" bestFit="1" customWidth="1"/>
    <col min="19" max="19" width="19.28515625" style="3" bestFit="1" customWidth="1"/>
    <col min="20" max="20" width="12.7109375" style="3" customWidth="1"/>
    <col min="21" max="23" width="10.7109375" style="3" customWidth="1"/>
    <col min="24" max="24" width="29.85546875" style="3" customWidth="1"/>
    <col min="25" max="25" width="22.140625" style="17" customWidth="1"/>
    <col min="26" max="26" width="11.42578125" style="3"/>
    <col min="27" max="27" width="20.1406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7" customFormat="1" ht="25.5" customHeight="1">
      <c r="A2" s="3130"/>
      <c r="B2" s="3130"/>
      <c r="C2" s="3130"/>
      <c r="D2" s="3130"/>
      <c r="E2" s="3130"/>
      <c r="F2" s="3130"/>
      <c r="G2" s="3130"/>
      <c r="H2" s="3130"/>
      <c r="I2" s="3130"/>
      <c r="J2" s="3130"/>
      <c r="K2" s="3130"/>
      <c r="L2" s="3130"/>
      <c r="M2" s="3130"/>
      <c r="N2" s="3130"/>
      <c r="O2" s="3130"/>
      <c r="P2" s="3130"/>
      <c r="Q2" s="3130"/>
      <c r="R2" s="3130"/>
      <c r="S2" s="3130"/>
      <c r="T2" s="3130"/>
      <c r="U2" s="3130"/>
      <c r="V2" s="3130"/>
      <c r="W2" s="3130"/>
      <c r="X2" s="3130"/>
      <c r="Y2" s="3130"/>
    </row>
    <row r="3" spans="1:25" s="64" customFormat="1" ht="25.5" customHeight="1">
      <c r="A3" s="2954" t="s">
        <v>73</v>
      </c>
      <c r="B3" s="2954"/>
      <c r="C3" s="2954" t="s">
        <v>258</v>
      </c>
      <c r="D3" s="2954"/>
      <c r="E3" s="2954"/>
      <c r="F3" s="2954"/>
      <c r="G3" s="2954"/>
      <c r="H3" s="2954"/>
      <c r="I3" s="2954"/>
      <c r="J3" s="2954"/>
      <c r="K3" s="2954"/>
      <c r="L3" s="2954"/>
      <c r="M3" s="2954"/>
      <c r="N3" s="2954"/>
      <c r="O3" s="2954"/>
      <c r="P3" s="2954"/>
      <c r="Q3" s="2954"/>
      <c r="R3" s="2954"/>
      <c r="S3" s="2834" t="s">
        <v>17</v>
      </c>
      <c r="T3" s="2834"/>
      <c r="U3" s="2834"/>
      <c r="V3" s="2835">
        <v>45473</v>
      </c>
      <c r="W3" s="2834"/>
      <c r="X3" s="40" t="s">
        <v>5</v>
      </c>
      <c r="Y3" s="42">
        <v>2024</v>
      </c>
    </row>
    <row r="4" spans="1:25" s="27" customFormat="1" ht="25.5" customHeight="1">
      <c r="A4" s="3129"/>
      <c r="B4" s="3129"/>
      <c r="C4" s="3129"/>
      <c r="D4" s="3129"/>
      <c r="E4" s="3129"/>
      <c r="F4" s="3129"/>
      <c r="G4" s="3129"/>
      <c r="H4" s="3129"/>
      <c r="I4" s="3129"/>
      <c r="J4" s="3129"/>
      <c r="K4" s="3129"/>
      <c r="L4" s="3129"/>
      <c r="M4" s="3129"/>
      <c r="N4" s="3129"/>
      <c r="O4" s="3129"/>
      <c r="P4" s="3129"/>
      <c r="Q4" s="3129"/>
      <c r="R4" s="3129"/>
      <c r="S4" s="3129"/>
      <c r="T4" s="3129"/>
      <c r="U4" s="3129"/>
      <c r="V4" s="3129"/>
      <c r="W4" s="3129"/>
      <c r="X4" s="3129"/>
      <c r="Y4" s="3129"/>
    </row>
    <row r="5" spans="1:25" s="27" customFormat="1">
      <c r="A5" s="2836" t="s">
        <v>74</v>
      </c>
      <c r="B5" s="2836" t="s">
        <v>4</v>
      </c>
      <c r="C5" s="2836" t="s">
        <v>3</v>
      </c>
      <c r="D5" s="3125" t="s">
        <v>259</v>
      </c>
      <c r="E5" s="2836" t="s">
        <v>2</v>
      </c>
      <c r="F5" s="2836" t="s">
        <v>260</v>
      </c>
      <c r="G5" s="3125" t="s">
        <v>92</v>
      </c>
      <c r="H5" s="3125" t="s">
        <v>93</v>
      </c>
      <c r="I5" s="2836" t="s">
        <v>8</v>
      </c>
      <c r="J5" s="2836" t="s">
        <v>9</v>
      </c>
      <c r="K5" s="2836" t="s">
        <v>10</v>
      </c>
      <c r="L5" s="3006" t="s">
        <v>11</v>
      </c>
      <c r="M5" s="2838" t="s">
        <v>86</v>
      </c>
      <c r="N5" s="2837" t="s">
        <v>12</v>
      </c>
      <c r="O5" s="2837" t="s">
        <v>72</v>
      </c>
      <c r="P5" s="3127" t="s">
        <v>1</v>
      </c>
      <c r="Q5" s="2837" t="s">
        <v>13</v>
      </c>
      <c r="R5" s="2837" t="s">
        <v>14</v>
      </c>
      <c r="S5" s="2837" t="s">
        <v>16</v>
      </c>
      <c r="T5" s="2837" t="s">
        <v>15</v>
      </c>
      <c r="U5" s="2837" t="s">
        <v>89</v>
      </c>
      <c r="V5" s="3127" t="s">
        <v>261</v>
      </c>
      <c r="W5" s="3127" t="s">
        <v>7</v>
      </c>
      <c r="X5" s="3127" t="s">
        <v>0</v>
      </c>
      <c r="Y5" s="3007" t="s">
        <v>76</v>
      </c>
    </row>
    <row r="6" spans="1:25" s="27" customFormat="1" ht="80.25" customHeight="1">
      <c r="A6" s="3006"/>
      <c r="B6" s="3006"/>
      <c r="C6" s="3006"/>
      <c r="D6" s="3126"/>
      <c r="E6" s="3006"/>
      <c r="F6" s="3006"/>
      <c r="G6" s="3126"/>
      <c r="H6" s="3126"/>
      <c r="I6" s="3006"/>
      <c r="J6" s="3006"/>
      <c r="K6" s="3006"/>
      <c r="L6" s="3132"/>
      <c r="M6" s="2848"/>
      <c r="N6" s="3007"/>
      <c r="O6" s="3007"/>
      <c r="P6" s="3128"/>
      <c r="Q6" s="3007"/>
      <c r="R6" s="3007"/>
      <c r="S6" s="3007"/>
      <c r="T6" s="3007"/>
      <c r="U6" s="3007"/>
      <c r="V6" s="3128"/>
      <c r="W6" s="3128"/>
      <c r="X6" s="3128"/>
      <c r="Y6" s="3131"/>
    </row>
    <row r="7" spans="1:25" s="321" customFormat="1" ht="15.75">
      <c r="A7" s="1235"/>
      <c r="B7" s="1296">
        <v>52</v>
      </c>
      <c r="C7" s="1296" t="s">
        <v>100</v>
      </c>
      <c r="D7" s="270" t="s">
        <v>2338</v>
      </c>
      <c r="E7" s="269"/>
      <c r="F7" s="270"/>
      <c r="G7" s="270"/>
      <c r="H7" s="1296"/>
      <c r="I7" s="270"/>
      <c r="J7" s="270"/>
      <c r="K7" s="270"/>
      <c r="L7" s="270"/>
      <c r="M7" s="268"/>
      <c r="N7" s="1620"/>
      <c r="O7" s="269"/>
      <c r="P7" s="270"/>
      <c r="Q7" s="1621"/>
      <c r="R7" s="1621"/>
      <c r="S7" s="1621"/>
      <c r="T7" s="1621"/>
      <c r="U7" s="1621"/>
      <c r="V7" s="1621"/>
      <c r="W7" s="1621"/>
      <c r="X7" s="1621"/>
      <c r="Y7" s="1621"/>
    </row>
    <row r="8" spans="1:25" s="321" customFormat="1" ht="15.75">
      <c r="A8" s="88"/>
      <c r="B8" s="112">
        <v>5203</v>
      </c>
      <c r="C8" s="112" t="s">
        <v>101</v>
      </c>
      <c r="D8" s="71" t="s">
        <v>149</v>
      </c>
      <c r="E8" s="101"/>
      <c r="F8" s="88"/>
      <c r="G8" s="88"/>
      <c r="H8" s="70"/>
      <c r="I8" s="88"/>
      <c r="J8" s="88"/>
      <c r="K8" s="88"/>
      <c r="L8" s="88"/>
      <c r="M8" s="76"/>
      <c r="N8" s="592"/>
      <c r="O8" s="101"/>
      <c r="P8" s="88"/>
      <c r="Q8" s="88"/>
      <c r="R8" s="88"/>
      <c r="S8" s="88"/>
      <c r="T8" s="88"/>
      <c r="U8" s="88"/>
      <c r="V8" s="88"/>
      <c r="W8" s="88"/>
      <c r="X8" s="88"/>
      <c r="Y8" s="88"/>
    </row>
    <row r="9" spans="1:25">
      <c r="A9" s="111"/>
      <c r="B9" s="112">
        <v>5203005</v>
      </c>
      <c r="C9" s="112" t="s">
        <v>102</v>
      </c>
      <c r="D9" s="71" t="s">
        <v>2339</v>
      </c>
      <c r="E9" s="101"/>
      <c r="F9" s="101"/>
      <c r="G9" s="101"/>
      <c r="H9" s="111"/>
      <c r="I9" s="71"/>
      <c r="J9" s="71"/>
      <c r="K9" s="111"/>
      <c r="L9" s="111"/>
      <c r="M9" s="76"/>
      <c r="N9" s="593"/>
      <c r="O9" s="141"/>
      <c r="P9" s="71"/>
      <c r="Q9" s="88"/>
      <c r="R9" s="88"/>
      <c r="S9" s="88"/>
      <c r="T9" s="88"/>
      <c r="U9" s="88"/>
      <c r="V9" s="88"/>
      <c r="W9" s="88"/>
      <c r="X9" s="88"/>
      <c r="Y9" s="88"/>
    </row>
    <row r="10" spans="1:25">
      <c r="A10" s="111"/>
      <c r="B10" s="112">
        <v>52030050001</v>
      </c>
      <c r="C10" s="112" t="s">
        <v>103</v>
      </c>
      <c r="D10" s="71" t="s">
        <v>2340</v>
      </c>
      <c r="E10" s="101"/>
      <c r="F10" s="101"/>
      <c r="G10" s="101"/>
      <c r="H10" s="111">
        <f>+H14</f>
        <v>107</v>
      </c>
      <c r="I10" s="71"/>
      <c r="J10" s="71"/>
      <c r="K10" s="111"/>
      <c r="L10" s="111"/>
      <c r="M10" s="76"/>
      <c r="N10" s="593"/>
      <c r="O10" s="141"/>
      <c r="P10" s="71"/>
      <c r="Q10" s="88"/>
      <c r="R10" s="88"/>
      <c r="S10" s="88"/>
      <c r="T10" s="88"/>
      <c r="U10" s="88"/>
      <c r="V10" s="88"/>
      <c r="W10" s="88"/>
      <c r="X10" s="88"/>
      <c r="Y10" s="88"/>
    </row>
    <row r="11" spans="1:25" s="471" customFormat="1" ht="13.5" customHeight="1">
      <c r="A11" s="3110">
        <v>4147</v>
      </c>
      <c r="B11" s="3119"/>
      <c r="C11" s="3122" t="s">
        <v>451</v>
      </c>
      <c r="D11" s="3112" t="s">
        <v>2341</v>
      </c>
      <c r="E11" s="101" t="s">
        <v>2342</v>
      </c>
      <c r="F11" s="88"/>
      <c r="G11" s="88"/>
      <c r="H11" s="70"/>
      <c r="I11" s="88"/>
      <c r="J11" s="88"/>
      <c r="K11" s="88">
        <f>+K14</f>
        <v>107</v>
      </c>
      <c r="L11" s="188">
        <f>SUM(L12:L14)</f>
        <v>1</v>
      </c>
      <c r="M11" s="76"/>
      <c r="N11" s="593">
        <f>SUM(N12:N14)</f>
        <v>0.29532710280373831</v>
      </c>
      <c r="O11" s="3116">
        <f>+IF(Q11&gt;0,N11,"na")</f>
        <v>0.29532710280373831</v>
      </c>
      <c r="P11" s="1622">
        <f>SUM(P12:P14)</f>
        <v>4163832400</v>
      </c>
      <c r="Q11" s="1622">
        <f t="shared" ref="Q11:S11" si="0">SUM(Q12:Q14)</f>
        <v>4653315500</v>
      </c>
      <c r="R11" s="1622">
        <f t="shared" si="0"/>
        <v>3359996500</v>
      </c>
      <c r="S11" s="1622">
        <f t="shared" si="0"/>
        <v>2292164000</v>
      </c>
      <c r="T11" s="594">
        <f>IF(Q11=0,0,R11/Q11)</f>
        <v>0.72206505232666907</v>
      </c>
      <c r="U11" s="594">
        <f t="shared" ref="U11:U14" si="1">IF(R11=0,0,S11/R11)</f>
        <v>0.68219237728372639</v>
      </c>
      <c r="V11" s="88"/>
      <c r="W11" s="88"/>
      <c r="X11" s="88"/>
      <c r="Y11" s="88"/>
    </row>
    <row r="12" spans="1:25" s="471" customFormat="1" ht="89.25">
      <c r="A12" s="3114"/>
      <c r="B12" s="3120"/>
      <c r="C12" s="3123"/>
      <c r="D12" s="3115"/>
      <c r="E12" s="101" t="s">
        <v>2343</v>
      </c>
      <c r="F12" s="88"/>
      <c r="G12" s="88"/>
      <c r="H12" s="70"/>
      <c r="I12" s="71" t="s">
        <v>2344</v>
      </c>
      <c r="J12" s="71" t="s">
        <v>193</v>
      </c>
      <c r="K12" s="88">
        <v>1</v>
      </c>
      <c r="L12" s="594">
        <v>0.2</v>
      </c>
      <c r="M12" s="76">
        <v>0</v>
      </c>
      <c r="N12" s="593">
        <v>0.1</v>
      </c>
      <c r="O12" s="3117"/>
      <c r="P12" s="1622">
        <v>2521897000</v>
      </c>
      <c r="Q12" s="1623">
        <v>2591380100</v>
      </c>
      <c r="R12" s="1623">
        <v>1767928000</v>
      </c>
      <c r="S12" s="1623">
        <v>880917500</v>
      </c>
      <c r="T12" s="594">
        <f t="shared" ref="T12:T14" si="2">IF(Q12=0,0,R12/Q12)</f>
        <v>0.68223415005772403</v>
      </c>
      <c r="U12" s="594">
        <f t="shared" si="1"/>
        <v>0.49827679634012245</v>
      </c>
      <c r="V12" s="1624">
        <v>45315</v>
      </c>
      <c r="W12" s="1624">
        <v>45596</v>
      </c>
      <c r="X12" s="71" t="s">
        <v>5276</v>
      </c>
      <c r="Y12" s="3112" t="s">
        <v>2345</v>
      </c>
    </row>
    <row r="13" spans="1:25" s="471" customFormat="1" ht="67.5" customHeight="1">
      <c r="A13" s="3114"/>
      <c r="B13" s="3120"/>
      <c r="C13" s="3123"/>
      <c r="D13" s="3115"/>
      <c r="E13" s="101" t="s">
        <v>2346</v>
      </c>
      <c r="F13" s="101"/>
      <c r="G13" s="101"/>
      <c r="H13" s="111"/>
      <c r="I13" s="71" t="s">
        <v>2347</v>
      </c>
      <c r="J13" s="71" t="s">
        <v>2348</v>
      </c>
      <c r="K13" s="88">
        <v>1</v>
      </c>
      <c r="L13" s="594">
        <v>0.2</v>
      </c>
      <c r="M13" s="76">
        <v>0</v>
      </c>
      <c r="N13" s="593">
        <v>0.1</v>
      </c>
      <c r="O13" s="3117"/>
      <c r="P13" s="1623">
        <v>381935400</v>
      </c>
      <c r="Q13" s="1623">
        <v>401935400</v>
      </c>
      <c r="R13" s="1623">
        <v>332068500</v>
      </c>
      <c r="S13" s="1623">
        <v>151246500</v>
      </c>
      <c r="T13" s="594">
        <f t="shared" si="2"/>
        <v>0.82617380802984763</v>
      </c>
      <c r="U13" s="594">
        <f t="shared" si="1"/>
        <v>0.45546777246260939</v>
      </c>
      <c r="V13" s="1624">
        <v>45315</v>
      </c>
      <c r="W13" s="1624">
        <v>45596</v>
      </c>
      <c r="X13" s="71" t="s">
        <v>5277</v>
      </c>
      <c r="Y13" s="3115"/>
    </row>
    <row r="14" spans="1:25" s="471" customFormat="1" ht="81" customHeight="1">
      <c r="A14" s="3111"/>
      <c r="B14" s="3121"/>
      <c r="C14" s="3124"/>
      <c r="D14" s="3113"/>
      <c r="E14" s="101" t="s">
        <v>2349</v>
      </c>
      <c r="F14" s="88"/>
      <c r="G14" s="71" t="s">
        <v>2340</v>
      </c>
      <c r="H14" s="70">
        <v>107</v>
      </c>
      <c r="I14" s="71" t="s">
        <v>2350</v>
      </c>
      <c r="J14" s="71" t="s">
        <v>2351</v>
      </c>
      <c r="K14" s="88">
        <v>107</v>
      </c>
      <c r="L14" s="594">
        <v>0.6</v>
      </c>
      <c r="M14" s="76">
        <v>17</v>
      </c>
      <c r="N14" s="593">
        <f>+(M14*L14)/K14</f>
        <v>9.5327102803738309E-2</v>
      </c>
      <c r="O14" s="3118"/>
      <c r="P14" s="1622">
        <v>1260000000</v>
      </c>
      <c r="Q14" s="1623">
        <v>1660000000</v>
      </c>
      <c r="R14" s="1623">
        <v>1260000000</v>
      </c>
      <c r="S14" s="1623">
        <v>1260000000</v>
      </c>
      <c r="T14" s="594">
        <f t="shared" si="2"/>
        <v>0.75903614457831325</v>
      </c>
      <c r="U14" s="594">
        <f t="shared" si="1"/>
        <v>1</v>
      </c>
      <c r="V14" s="1624">
        <v>45351</v>
      </c>
      <c r="W14" s="1624">
        <v>45657</v>
      </c>
      <c r="X14" s="71" t="s">
        <v>5278</v>
      </c>
      <c r="Y14" s="3113"/>
    </row>
    <row r="15" spans="1:25">
      <c r="A15" s="88"/>
      <c r="B15" s="112">
        <v>52030050002</v>
      </c>
      <c r="C15" s="112" t="s">
        <v>103</v>
      </c>
      <c r="D15" s="88" t="s">
        <v>2352</v>
      </c>
      <c r="E15" s="101"/>
      <c r="F15" s="88"/>
      <c r="G15" s="88"/>
      <c r="H15" s="70">
        <f>+H17</f>
        <v>1</v>
      </c>
      <c r="I15" s="88"/>
      <c r="J15" s="88"/>
      <c r="K15" s="88"/>
      <c r="L15" s="88"/>
      <c r="M15" s="76"/>
      <c r="N15" s="592"/>
      <c r="O15" s="101"/>
      <c r="P15" s="88"/>
      <c r="Q15" s="88"/>
      <c r="R15" s="70"/>
      <c r="S15" s="70"/>
      <c r="T15" s="88"/>
      <c r="U15" s="88"/>
      <c r="V15" s="88"/>
      <c r="W15" s="88"/>
      <c r="X15" s="88"/>
      <c r="Y15" s="88"/>
    </row>
    <row r="16" spans="1:25" s="471" customFormat="1" ht="13.5" customHeight="1">
      <c r="A16" s="3110">
        <v>4147</v>
      </c>
      <c r="B16" s="3122"/>
      <c r="C16" s="3122" t="s">
        <v>451</v>
      </c>
      <c r="D16" s="3112" t="s">
        <v>2353</v>
      </c>
      <c r="E16" s="101" t="s">
        <v>2354</v>
      </c>
      <c r="F16" s="88"/>
      <c r="G16" s="88"/>
      <c r="H16" s="70"/>
      <c r="I16" s="88"/>
      <c r="J16" s="88"/>
      <c r="K16" s="88">
        <f>+K18</f>
        <v>1</v>
      </c>
      <c r="L16" s="188">
        <f>SUM(L17:L18)</f>
        <v>1</v>
      </c>
      <c r="M16" s="76"/>
      <c r="N16" s="593">
        <f>SUM(N17:N18)</f>
        <v>0.2</v>
      </c>
      <c r="O16" s="3116">
        <f>+IF(Q16&gt;0,N16,"na")</f>
        <v>0.2</v>
      </c>
      <c r="P16" s="1622">
        <f>SUM(P17:P18)</f>
        <v>1270479960</v>
      </c>
      <c r="Q16" s="1622">
        <f>SUM(Q17:Q18)</f>
        <v>1115849000</v>
      </c>
      <c r="R16" s="1625">
        <f>SUM(R17:R18)</f>
        <v>432224500</v>
      </c>
      <c r="S16" s="1625">
        <f>SUM(S17:S18)</f>
        <v>205538499</v>
      </c>
      <c r="T16" s="594">
        <f>IF(Q16=0,0,R16/Q16)</f>
        <v>0.38735034937522911</v>
      </c>
      <c r="U16" s="594">
        <f t="shared" ref="U16:U18" si="3">IF(R16=0,0,S16/R16)</f>
        <v>0.47553643766144676</v>
      </c>
      <c r="V16" s="88"/>
      <c r="W16" s="88"/>
      <c r="X16" s="88"/>
      <c r="Y16" s="88"/>
    </row>
    <row r="17" spans="1:25" s="471" customFormat="1" ht="51">
      <c r="A17" s="3114"/>
      <c r="B17" s="3123"/>
      <c r="C17" s="3123"/>
      <c r="D17" s="3115"/>
      <c r="E17" s="101" t="s">
        <v>2355</v>
      </c>
      <c r="F17" s="88"/>
      <c r="G17" s="71" t="s">
        <v>2352</v>
      </c>
      <c r="H17" s="70">
        <v>1</v>
      </c>
      <c r="I17" s="71" t="s">
        <v>2356</v>
      </c>
      <c r="J17" s="71" t="s">
        <v>2357</v>
      </c>
      <c r="K17" s="88">
        <v>1</v>
      </c>
      <c r="L17" s="594">
        <v>0.6</v>
      </c>
      <c r="M17" s="76">
        <v>0</v>
      </c>
      <c r="N17" s="593">
        <v>0</v>
      </c>
      <c r="O17" s="3117"/>
      <c r="P17" s="1622">
        <v>400000000</v>
      </c>
      <c r="Q17" s="1622">
        <v>400000000</v>
      </c>
      <c r="R17" s="1626">
        <v>0</v>
      </c>
      <c r="S17" s="1626">
        <v>0</v>
      </c>
      <c r="T17" s="594">
        <f t="shared" ref="T17:T18" si="4">IF(Q17=0,0,R17/Q17)</f>
        <v>0</v>
      </c>
      <c r="U17" s="594">
        <f t="shared" si="3"/>
        <v>0</v>
      </c>
      <c r="V17" s="1624"/>
      <c r="W17" s="1624"/>
      <c r="X17" s="88"/>
      <c r="Y17" s="3112" t="s">
        <v>2345</v>
      </c>
    </row>
    <row r="18" spans="1:25" s="471" customFormat="1" ht="81" customHeight="1">
      <c r="A18" s="3111"/>
      <c r="B18" s="3124"/>
      <c r="C18" s="3124"/>
      <c r="D18" s="3113"/>
      <c r="E18" s="88" t="s">
        <v>2358</v>
      </c>
      <c r="F18" s="88"/>
      <c r="G18" s="88"/>
      <c r="H18" s="70"/>
      <c r="I18" s="71" t="s">
        <v>2359</v>
      </c>
      <c r="J18" s="71" t="s">
        <v>2348</v>
      </c>
      <c r="K18" s="88">
        <v>1</v>
      </c>
      <c r="L18" s="594">
        <v>0.4</v>
      </c>
      <c r="M18" s="88">
        <v>0</v>
      </c>
      <c r="N18" s="594">
        <v>0.2</v>
      </c>
      <c r="O18" s="3118"/>
      <c r="P18" s="1623">
        <v>870479960</v>
      </c>
      <c r="Q18" s="1623">
        <v>715849000</v>
      </c>
      <c r="R18" s="1627">
        <v>432224500</v>
      </c>
      <c r="S18" s="1627">
        <v>205538499</v>
      </c>
      <c r="T18" s="594">
        <f t="shared" si="4"/>
        <v>0.60379283899258085</v>
      </c>
      <c r="U18" s="594">
        <f t="shared" si="3"/>
        <v>0.47553643766144676</v>
      </c>
      <c r="V18" s="1624">
        <v>45320</v>
      </c>
      <c r="W18" s="1624">
        <v>45596</v>
      </c>
      <c r="X18" s="71" t="s">
        <v>5279</v>
      </c>
      <c r="Y18" s="3113"/>
    </row>
    <row r="19" spans="1:25">
      <c r="A19" s="88"/>
      <c r="B19" s="70">
        <v>52030050004</v>
      </c>
      <c r="C19" s="70" t="s">
        <v>103</v>
      </c>
      <c r="D19" s="71" t="s">
        <v>2360</v>
      </c>
      <c r="E19" s="88"/>
      <c r="F19" s="88"/>
      <c r="G19" s="88"/>
      <c r="H19" s="70">
        <f>+H22</f>
        <v>160</v>
      </c>
      <c r="I19" s="88"/>
      <c r="J19" s="70"/>
      <c r="K19" s="88"/>
      <c r="L19" s="594"/>
      <c r="M19" s="88"/>
      <c r="N19" s="594"/>
      <c r="O19" s="88"/>
      <c r="P19" s="88"/>
      <c r="Q19" s="88"/>
      <c r="R19" s="70"/>
      <c r="S19" s="70"/>
      <c r="T19" s="88"/>
      <c r="U19" s="88"/>
      <c r="V19" s="88"/>
      <c r="W19" s="88"/>
      <c r="X19" s="88"/>
      <c r="Y19" s="88"/>
    </row>
    <row r="20" spans="1:25" s="471" customFormat="1" ht="13.5">
      <c r="A20" s="3110">
        <v>4147</v>
      </c>
      <c r="B20" s="3110"/>
      <c r="C20" s="3110" t="s">
        <v>451</v>
      </c>
      <c r="D20" s="3112" t="s">
        <v>2361</v>
      </c>
      <c r="E20" s="88" t="s">
        <v>2362</v>
      </c>
      <c r="F20" s="88"/>
      <c r="G20" s="88"/>
      <c r="H20" s="70"/>
      <c r="I20" s="88"/>
      <c r="J20" s="70"/>
      <c r="K20" s="88">
        <f>+K22</f>
        <v>160</v>
      </c>
      <c r="L20" s="188">
        <f>SUM(L21:L22)</f>
        <v>1</v>
      </c>
      <c r="M20" s="88"/>
      <c r="N20" s="593">
        <f>SUM(N21:N22)</f>
        <v>0.10855999999999999</v>
      </c>
      <c r="O20" s="3116">
        <f>+IF(Q20&gt;0,N20,"na")</f>
        <v>0.10855999999999999</v>
      </c>
      <c r="P20" s="1622">
        <f>SUM(P21:P22)</f>
        <v>3244161786</v>
      </c>
      <c r="Q20" s="1622">
        <f>SUM(Q21:Q22)</f>
        <v>2503312154</v>
      </c>
      <c r="R20" s="1625">
        <f>SUM(R21:R22)</f>
        <v>2149717142</v>
      </c>
      <c r="S20" s="1625">
        <f>SUM(S21:S22)</f>
        <v>1960042142</v>
      </c>
      <c r="T20" s="594">
        <f>IF(Q20=0,0,R20/Q20)</f>
        <v>0.85874913304958933</v>
      </c>
      <c r="U20" s="594">
        <f t="shared" ref="U20:U22" si="5">IF(R20=0,0,S20/R20)</f>
        <v>0.91176746173055356</v>
      </c>
      <c r="V20" s="88"/>
      <c r="W20" s="88"/>
      <c r="X20" s="88"/>
      <c r="Y20" s="88"/>
    </row>
    <row r="21" spans="1:25" s="471" customFormat="1" ht="76.5">
      <c r="A21" s="3114"/>
      <c r="B21" s="3114"/>
      <c r="C21" s="3114"/>
      <c r="D21" s="3115"/>
      <c r="E21" s="88" t="s">
        <v>2363</v>
      </c>
      <c r="F21" s="88"/>
      <c r="G21" s="88"/>
      <c r="H21" s="70"/>
      <c r="I21" s="71" t="s">
        <v>2364</v>
      </c>
      <c r="J21" s="71" t="s">
        <v>2365</v>
      </c>
      <c r="K21" s="88">
        <v>1000</v>
      </c>
      <c r="L21" s="594">
        <v>0.48</v>
      </c>
      <c r="M21" s="88">
        <v>122</v>
      </c>
      <c r="N21" s="594">
        <f>+M21*L21/K21</f>
        <v>5.8559999999999994E-2</v>
      </c>
      <c r="O21" s="3117"/>
      <c r="P21" s="1623">
        <v>1475704924</v>
      </c>
      <c r="Q21" s="1623">
        <v>734855292</v>
      </c>
      <c r="R21" s="1623">
        <v>519684500</v>
      </c>
      <c r="S21" s="1623">
        <v>330009500</v>
      </c>
      <c r="T21" s="594">
        <f t="shared" ref="T21:T22" si="6">IF(Q21=0,0,R21/Q21)</f>
        <v>0.70719297480407883</v>
      </c>
      <c r="U21" s="594">
        <f t="shared" si="5"/>
        <v>0.63501893937571741</v>
      </c>
      <c r="V21" s="1624">
        <v>45316</v>
      </c>
      <c r="W21" s="1624">
        <v>45596</v>
      </c>
      <c r="X21" s="71" t="s">
        <v>5280</v>
      </c>
      <c r="Y21" s="3112" t="s">
        <v>2366</v>
      </c>
    </row>
    <row r="22" spans="1:25" s="471" customFormat="1" ht="54" customHeight="1">
      <c r="A22" s="3111"/>
      <c r="B22" s="3111"/>
      <c r="C22" s="3111"/>
      <c r="D22" s="3113"/>
      <c r="E22" s="88" t="s">
        <v>2367</v>
      </c>
      <c r="F22" s="88"/>
      <c r="G22" s="71" t="s">
        <v>2360</v>
      </c>
      <c r="H22" s="70">
        <v>160</v>
      </c>
      <c r="I22" s="71" t="s">
        <v>2368</v>
      </c>
      <c r="J22" s="71" t="s">
        <v>2369</v>
      </c>
      <c r="K22" s="88">
        <v>160</v>
      </c>
      <c r="L22" s="594">
        <v>0.52</v>
      </c>
      <c r="M22" s="88">
        <v>0</v>
      </c>
      <c r="N22" s="594">
        <v>0.05</v>
      </c>
      <c r="O22" s="3118"/>
      <c r="P22" s="1623">
        <v>1768456862</v>
      </c>
      <c r="Q22" s="1623">
        <v>1768456862</v>
      </c>
      <c r="R22" s="1623">
        <v>1630032642</v>
      </c>
      <c r="S22" s="1623">
        <v>1630032642</v>
      </c>
      <c r="T22" s="594">
        <f t="shared" si="6"/>
        <v>0.92172598440232689</v>
      </c>
      <c r="U22" s="594">
        <f t="shared" si="5"/>
        <v>1</v>
      </c>
      <c r="V22" s="1624">
        <v>45412</v>
      </c>
      <c r="W22" s="1624">
        <v>45657</v>
      </c>
      <c r="X22" s="71" t="s">
        <v>5281</v>
      </c>
      <c r="Y22" s="3113"/>
    </row>
    <row r="23" spans="1:25">
      <c r="A23"/>
      <c r="B23" s="70">
        <v>52030050010</v>
      </c>
      <c r="C23" s="70" t="s">
        <v>103</v>
      </c>
      <c r="D23" s="71" t="s">
        <v>2370</v>
      </c>
      <c r="E23" s="88"/>
      <c r="F23" s="88"/>
      <c r="G23" s="88"/>
      <c r="H23" s="70">
        <f>+H25</f>
        <v>1</v>
      </c>
      <c r="I23" s="88"/>
      <c r="J23" s="70"/>
      <c r="K23" s="88"/>
      <c r="L23" s="88"/>
      <c r="M23" s="88"/>
      <c r="N23" s="594"/>
      <c r="O23" s="88"/>
      <c r="P23" s="88"/>
      <c r="Q23" s="88"/>
      <c r="R23" s="88"/>
      <c r="S23" s="88"/>
      <c r="T23" s="88"/>
      <c r="U23" s="88"/>
      <c r="V23" s="88"/>
      <c r="W23" s="88"/>
      <c r="X23" s="88"/>
      <c r="Y23" s="88"/>
    </row>
    <row r="24" spans="1:25" s="471" customFormat="1" ht="13.5">
      <c r="A24" s="3110">
        <v>4147</v>
      </c>
      <c r="B24" s="3110"/>
      <c r="C24" s="3110" t="s">
        <v>451</v>
      </c>
      <c r="D24" s="3112" t="s">
        <v>2371</v>
      </c>
      <c r="E24" s="88" t="s">
        <v>2372</v>
      </c>
      <c r="F24" s="88"/>
      <c r="G24" s="88"/>
      <c r="H24" s="70"/>
      <c r="I24" s="88"/>
      <c r="J24" s="70"/>
      <c r="K24" s="88">
        <f>+K26</f>
        <v>1</v>
      </c>
      <c r="L24" s="188">
        <f>SUM(L25:L26)</f>
        <v>1</v>
      </c>
      <c r="M24" s="88"/>
      <c r="N24" s="593">
        <f>SUM(N25:N26)</f>
        <v>0.5</v>
      </c>
      <c r="O24" s="3116">
        <f>+IF(Q24&gt;0,N24,"na")</f>
        <v>0.5</v>
      </c>
      <c r="P24" s="1622">
        <f>SUM(P25:P26)</f>
        <v>133100000</v>
      </c>
      <c r="Q24" s="1622">
        <f>SUM(Q25:Q26)</f>
        <v>153212500</v>
      </c>
      <c r="R24" s="1622">
        <f>SUM(R25:R26)</f>
        <v>115158500</v>
      </c>
      <c r="S24" s="1622">
        <f>SUM(S25:S26)</f>
        <v>61898500</v>
      </c>
      <c r="T24" s="594">
        <f>IF(Q24=0,0,R24/Q24)</f>
        <v>0.75162600962715187</v>
      </c>
      <c r="U24" s="594">
        <f t="shared" ref="U24:U26" si="7">IF(R24=0,0,S24/R24)</f>
        <v>0.53750700122005757</v>
      </c>
      <c r="V24" s="88"/>
      <c r="W24" s="88"/>
      <c r="X24" s="88"/>
      <c r="Y24" s="88"/>
    </row>
    <row r="25" spans="1:25" s="471" customFormat="1" ht="108" customHeight="1">
      <c r="A25" s="3114"/>
      <c r="B25" s="3114"/>
      <c r="C25" s="3114"/>
      <c r="D25" s="3115"/>
      <c r="E25" s="88" t="s">
        <v>2373</v>
      </c>
      <c r="F25" s="88"/>
      <c r="G25" s="71" t="s">
        <v>2370</v>
      </c>
      <c r="H25" s="70">
        <v>1</v>
      </c>
      <c r="I25" s="101" t="s">
        <v>2374</v>
      </c>
      <c r="J25" s="101" t="s">
        <v>122</v>
      </c>
      <c r="K25" s="88">
        <v>1</v>
      </c>
      <c r="L25" s="594">
        <v>0.7</v>
      </c>
      <c r="M25" s="88">
        <v>0</v>
      </c>
      <c r="N25" s="594">
        <v>0.35</v>
      </c>
      <c r="O25" s="3117"/>
      <c r="P25" s="1623">
        <v>46700000</v>
      </c>
      <c r="Q25" s="1623">
        <v>66812500</v>
      </c>
      <c r="R25" s="1623">
        <v>44936500</v>
      </c>
      <c r="S25" s="1623">
        <v>27184500</v>
      </c>
      <c r="T25" s="594">
        <f>IF(Q25=0,0,R25/Q25)</f>
        <v>0.67257623947614598</v>
      </c>
      <c r="U25" s="594">
        <f t="shared" si="7"/>
        <v>0.60495365682685565</v>
      </c>
      <c r="V25" s="1624">
        <v>45337</v>
      </c>
      <c r="W25" s="1624">
        <v>45596</v>
      </c>
      <c r="X25" s="71" t="s">
        <v>5282</v>
      </c>
      <c r="Y25" s="3112" t="s">
        <v>2366</v>
      </c>
    </row>
    <row r="26" spans="1:25" s="471" customFormat="1" ht="108" customHeight="1">
      <c r="A26" s="3111"/>
      <c r="B26" s="3111"/>
      <c r="C26" s="3111"/>
      <c r="D26" s="3113"/>
      <c r="E26" s="88" t="s">
        <v>2375</v>
      </c>
      <c r="F26" s="88"/>
      <c r="G26" s="88"/>
      <c r="H26" s="70"/>
      <c r="I26" s="101" t="s">
        <v>2376</v>
      </c>
      <c r="J26" s="101" t="s">
        <v>124</v>
      </c>
      <c r="K26" s="88">
        <v>1</v>
      </c>
      <c r="L26" s="594">
        <v>0.3</v>
      </c>
      <c r="M26" s="88">
        <v>0</v>
      </c>
      <c r="N26" s="594">
        <v>0.15</v>
      </c>
      <c r="O26" s="3118"/>
      <c r="P26" s="1623">
        <v>86400000</v>
      </c>
      <c r="Q26" s="1623">
        <v>86400000</v>
      </c>
      <c r="R26" s="1623">
        <v>70222000</v>
      </c>
      <c r="S26" s="1623">
        <v>34714000</v>
      </c>
      <c r="T26" s="594">
        <f>IF(Q26=0,0,R26/Q26)</f>
        <v>0.81275462962962963</v>
      </c>
      <c r="U26" s="594">
        <f t="shared" si="7"/>
        <v>0.49434650109652245</v>
      </c>
      <c r="V26" s="1624">
        <v>45337</v>
      </c>
      <c r="W26" s="1624">
        <v>45596</v>
      </c>
      <c r="X26" s="71" t="s">
        <v>5283</v>
      </c>
      <c r="Y26" s="3113"/>
    </row>
    <row r="27" spans="1:25">
      <c r="A27" s="88"/>
      <c r="B27" s="112">
        <v>5203006</v>
      </c>
      <c r="C27" s="112" t="s">
        <v>102</v>
      </c>
      <c r="D27" s="71" t="s">
        <v>2377</v>
      </c>
      <c r="E27" s="88"/>
      <c r="F27" s="88"/>
      <c r="G27" s="88"/>
      <c r="H27" s="70"/>
      <c r="I27" s="88"/>
      <c r="J27" s="70"/>
      <c r="K27" s="88"/>
      <c r="L27" s="88"/>
      <c r="M27" s="88"/>
      <c r="N27" s="594"/>
      <c r="O27" s="88"/>
      <c r="P27" s="88"/>
      <c r="Q27" s="88"/>
      <c r="R27" s="88"/>
      <c r="S27" s="88"/>
      <c r="T27" s="88"/>
      <c r="U27" s="88"/>
      <c r="V27" s="88"/>
      <c r="W27" s="88"/>
      <c r="X27" s="88"/>
      <c r="Y27" s="88"/>
    </row>
    <row r="28" spans="1:25" ht="16.5" customHeight="1">
      <c r="A28"/>
      <c r="B28" s="112">
        <v>52030060003</v>
      </c>
      <c r="C28" s="112" t="s">
        <v>103</v>
      </c>
      <c r="D28" s="71" t="s">
        <v>2378</v>
      </c>
      <c r="E28" s="88"/>
      <c r="F28" s="88"/>
      <c r="G28" s="88"/>
      <c r="H28" s="70">
        <f>+H32+H34</f>
        <v>6</v>
      </c>
      <c r="I28" s="88"/>
      <c r="J28" s="70"/>
      <c r="K28" s="88"/>
      <c r="L28" s="88"/>
      <c r="M28" s="88"/>
      <c r="N28" s="594"/>
      <c r="O28" s="88"/>
      <c r="P28" s="88"/>
      <c r="Q28" s="88"/>
      <c r="R28" s="1622"/>
      <c r="S28" s="88"/>
      <c r="T28" s="88"/>
      <c r="U28" s="88"/>
      <c r="V28" s="88"/>
      <c r="W28" s="88"/>
      <c r="X28" s="88"/>
      <c r="Y28" s="88"/>
    </row>
    <row r="29" spans="1:25" s="471" customFormat="1" ht="13.5" customHeight="1">
      <c r="A29" s="3110">
        <v>4147</v>
      </c>
      <c r="B29" s="3110"/>
      <c r="C29" s="3110" t="s">
        <v>451</v>
      </c>
      <c r="D29" s="3112" t="s">
        <v>2379</v>
      </c>
      <c r="E29" s="88" t="s">
        <v>2380</v>
      </c>
      <c r="F29" s="88"/>
      <c r="G29" s="88"/>
      <c r="H29" s="70"/>
      <c r="I29" s="88"/>
      <c r="J29" s="70"/>
      <c r="K29" s="88">
        <f>+K32</f>
        <v>3</v>
      </c>
      <c r="L29" s="188">
        <f>SUM(L30:L32)</f>
        <v>1</v>
      </c>
      <c r="M29" s="88"/>
      <c r="N29" s="593">
        <f>SUM(N30:N32)</f>
        <v>0.35</v>
      </c>
      <c r="O29" s="3116">
        <f>+IF(Q29&gt;0,N29,"na")</f>
        <v>0.35</v>
      </c>
      <c r="P29" s="1622">
        <f>SUM(P30:P32)</f>
        <v>447515508</v>
      </c>
      <c r="Q29" s="1622">
        <f t="shared" ref="Q29:S29" si="8">SUM(Q30:Q32)</f>
        <v>447515508</v>
      </c>
      <c r="R29" s="1622">
        <f t="shared" si="8"/>
        <v>271332000</v>
      </c>
      <c r="S29" s="1622">
        <f t="shared" si="8"/>
        <v>85213000</v>
      </c>
      <c r="T29" s="594">
        <f>IF(Q29=0,0,R29/Q29)</f>
        <v>0.60630748018680958</v>
      </c>
      <c r="U29" s="594">
        <f t="shared" ref="U29:U35" si="9">IF(R29=0,0,S29/R29)</f>
        <v>0.31405436881753718</v>
      </c>
      <c r="V29" s="88"/>
      <c r="W29" s="88"/>
      <c r="X29" s="88"/>
      <c r="Y29" s="88"/>
    </row>
    <row r="30" spans="1:25" s="471" customFormat="1" ht="51">
      <c r="A30" s="3114"/>
      <c r="B30" s="3114"/>
      <c r="C30" s="3114"/>
      <c r="D30" s="3115"/>
      <c r="E30" s="88" t="s">
        <v>2381</v>
      </c>
      <c r="F30" s="88"/>
      <c r="G30" s="88"/>
      <c r="H30" s="70"/>
      <c r="I30" s="101" t="s">
        <v>2382</v>
      </c>
      <c r="J30" s="101" t="s">
        <v>124</v>
      </c>
      <c r="K30" s="88">
        <v>1</v>
      </c>
      <c r="L30" s="594">
        <v>0.3</v>
      </c>
      <c r="M30" s="88">
        <v>0</v>
      </c>
      <c r="N30" s="593">
        <v>0.15</v>
      </c>
      <c r="O30" s="3117"/>
      <c r="P30" s="1622">
        <v>190269624</v>
      </c>
      <c r="Q30" s="1622">
        <v>192192000</v>
      </c>
      <c r="R30" s="1622">
        <v>150728000</v>
      </c>
      <c r="S30" s="1622">
        <v>55062000</v>
      </c>
      <c r="T30" s="594">
        <f t="shared" ref="T30:T32" si="10">IF(Q30=0,0,R30/Q30)</f>
        <v>0.78425740925740928</v>
      </c>
      <c r="U30" s="594">
        <f t="shared" si="9"/>
        <v>0.36530704315057588</v>
      </c>
      <c r="V30" s="1624">
        <v>45434</v>
      </c>
      <c r="W30" s="1624">
        <v>45596</v>
      </c>
      <c r="X30" s="71" t="s">
        <v>5284</v>
      </c>
      <c r="Y30" s="3112" t="s">
        <v>2366</v>
      </c>
    </row>
    <row r="31" spans="1:25" s="471" customFormat="1" ht="81" customHeight="1">
      <c r="A31" s="3114"/>
      <c r="B31" s="3114"/>
      <c r="C31" s="3114"/>
      <c r="D31" s="3115"/>
      <c r="E31" s="88" t="s">
        <v>2383</v>
      </c>
      <c r="F31" s="88"/>
      <c r="G31" s="88"/>
      <c r="H31" s="70"/>
      <c r="I31" s="101" t="s">
        <v>2384</v>
      </c>
      <c r="J31" s="101" t="s">
        <v>5285</v>
      </c>
      <c r="K31" s="88">
        <v>1</v>
      </c>
      <c r="L31" s="594">
        <v>0.3</v>
      </c>
      <c r="M31" s="88">
        <v>0</v>
      </c>
      <c r="N31" s="593">
        <v>0.15</v>
      </c>
      <c r="O31" s="3117"/>
      <c r="P31" s="1622">
        <v>148904256</v>
      </c>
      <c r="Q31" s="1622">
        <v>211949508</v>
      </c>
      <c r="R31" s="1622">
        <v>77230000</v>
      </c>
      <c r="S31" s="1622">
        <v>15693000</v>
      </c>
      <c r="T31" s="594">
        <f t="shared" si="10"/>
        <v>0.36437923696430569</v>
      </c>
      <c r="U31" s="594">
        <f t="shared" si="9"/>
        <v>0.20319823902628512</v>
      </c>
      <c r="V31" s="1624">
        <v>45434</v>
      </c>
      <c r="W31" s="1624">
        <v>45596</v>
      </c>
      <c r="X31" s="71" t="s">
        <v>5286</v>
      </c>
      <c r="Y31" s="3115"/>
    </row>
    <row r="32" spans="1:25" s="471" customFormat="1" ht="81" customHeight="1">
      <c r="A32" s="3111"/>
      <c r="B32" s="3111"/>
      <c r="C32" s="3111"/>
      <c r="D32" s="3113"/>
      <c r="E32" s="88" t="s">
        <v>2385</v>
      </c>
      <c r="F32" s="88"/>
      <c r="G32" s="71" t="s">
        <v>2378</v>
      </c>
      <c r="H32" s="70">
        <v>3</v>
      </c>
      <c r="I32" s="101" t="s">
        <v>2386</v>
      </c>
      <c r="J32" s="101" t="s">
        <v>5287</v>
      </c>
      <c r="K32" s="88">
        <v>3</v>
      </c>
      <c r="L32" s="594">
        <v>0.4</v>
      </c>
      <c r="M32" s="88">
        <v>0</v>
      </c>
      <c r="N32" s="593">
        <v>0.05</v>
      </c>
      <c r="O32" s="3118"/>
      <c r="P32" s="1622">
        <v>108341628</v>
      </c>
      <c r="Q32" s="1622">
        <v>43374000</v>
      </c>
      <c r="R32" s="1622">
        <v>43374000</v>
      </c>
      <c r="S32" s="1622">
        <v>14458000</v>
      </c>
      <c r="T32" s="594">
        <f t="shared" si="10"/>
        <v>1</v>
      </c>
      <c r="U32" s="594">
        <f t="shared" si="9"/>
        <v>0.33333333333333331</v>
      </c>
      <c r="V32" s="1624">
        <v>45434</v>
      </c>
      <c r="W32" s="1624">
        <v>45596</v>
      </c>
      <c r="X32" s="71" t="s">
        <v>5288</v>
      </c>
      <c r="Y32" s="3113"/>
    </row>
    <row r="33" spans="1:25" s="471" customFormat="1" ht="13.5" customHeight="1">
      <c r="A33" s="3110">
        <v>4147</v>
      </c>
      <c r="B33" s="3110"/>
      <c r="C33" s="3110" t="s">
        <v>451</v>
      </c>
      <c r="D33" s="3112" t="s">
        <v>2387</v>
      </c>
      <c r="E33" s="88" t="s">
        <v>2388</v>
      </c>
      <c r="F33" s="88"/>
      <c r="G33" s="88"/>
      <c r="H33" s="70"/>
      <c r="I33" s="88"/>
      <c r="J33" s="70"/>
      <c r="K33" s="88">
        <f>+K34</f>
        <v>3</v>
      </c>
      <c r="L33" s="188">
        <f>SUM(L34:L35)</f>
        <v>1</v>
      </c>
      <c r="M33" s="88"/>
      <c r="N33" s="593">
        <f>SUM(N34:N35)</f>
        <v>0.50115474547144823</v>
      </c>
      <c r="O33" s="3116">
        <f>+IF(Q33&gt;0,N33,"na")</f>
        <v>0.50115474547144823</v>
      </c>
      <c r="P33" s="1622">
        <f>SUM(P34:P35)</f>
        <v>19283782869</v>
      </c>
      <c r="Q33" s="1622">
        <f>SUM(Q34:Q35)</f>
        <v>31268471069</v>
      </c>
      <c r="R33" s="1622">
        <f>SUM(R34:R35)</f>
        <v>15737775503</v>
      </c>
      <c r="S33" s="1622">
        <f>SUM(S34:S35)</f>
        <v>772355962</v>
      </c>
      <c r="T33" s="594">
        <f>IF(Q33=0,0,R33/Q33)</f>
        <v>0.50331132175511617</v>
      </c>
      <c r="U33" s="594">
        <f t="shared" si="9"/>
        <v>4.9076564972779686E-2</v>
      </c>
      <c r="V33" s="88"/>
      <c r="W33" s="88"/>
      <c r="X33" s="88"/>
      <c r="Y33" s="88"/>
    </row>
    <row r="34" spans="1:25" s="471" customFormat="1" ht="81" customHeight="1">
      <c r="A34" s="3114"/>
      <c r="B34" s="3114"/>
      <c r="C34" s="3114"/>
      <c r="D34" s="3115"/>
      <c r="E34" s="88" t="s">
        <v>2389</v>
      </c>
      <c r="F34" s="88"/>
      <c r="G34" s="71" t="s">
        <v>2378</v>
      </c>
      <c r="H34" s="70">
        <v>3</v>
      </c>
      <c r="I34" s="101" t="s">
        <v>2390</v>
      </c>
      <c r="J34" s="101" t="s">
        <v>193</v>
      </c>
      <c r="K34" s="88">
        <v>3</v>
      </c>
      <c r="L34" s="594">
        <v>0.5</v>
      </c>
      <c r="M34" s="88">
        <v>0</v>
      </c>
      <c r="N34" s="594">
        <v>0.13</v>
      </c>
      <c r="O34" s="3117"/>
      <c r="P34" s="1622">
        <v>1583782869</v>
      </c>
      <c r="Q34" s="1622">
        <v>2324632501</v>
      </c>
      <c r="R34" s="1622">
        <v>2119789000</v>
      </c>
      <c r="S34" s="1622">
        <v>620036000</v>
      </c>
      <c r="T34" s="594">
        <f t="shared" ref="T34:T35" si="11">IF(Q34=0,0,R34/Q34)</f>
        <v>0.91188133999164112</v>
      </c>
      <c r="U34" s="594">
        <f t="shared" si="9"/>
        <v>0.2924989232418887</v>
      </c>
      <c r="V34" s="1624">
        <v>45321</v>
      </c>
      <c r="W34" s="1624">
        <v>45657</v>
      </c>
      <c r="X34" s="71" t="s">
        <v>5289</v>
      </c>
      <c r="Y34" s="3112" t="s">
        <v>2366</v>
      </c>
    </row>
    <row r="35" spans="1:25" s="471" customFormat="1" ht="63.75">
      <c r="A35" s="3111"/>
      <c r="B35" s="3111"/>
      <c r="C35" s="3111"/>
      <c r="D35" s="3113"/>
      <c r="E35" s="88" t="s">
        <v>2391</v>
      </c>
      <c r="F35" s="88"/>
      <c r="G35" s="88"/>
      <c r="H35" s="70"/>
      <c r="I35" s="101" t="s">
        <v>2392</v>
      </c>
      <c r="J35" s="101" t="s">
        <v>2393</v>
      </c>
      <c r="K35" s="1622">
        <v>35497</v>
      </c>
      <c r="L35" s="594">
        <v>0.5</v>
      </c>
      <c r="M35" s="88">
        <v>26349.759999999998</v>
      </c>
      <c r="N35" s="593">
        <f>+M35*L35/K35</f>
        <v>0.37115474547144828</v>
      </c>
      <c r="O35" s="3118"/>
      <c r="P35" s="1622">
        <v>17700000000</v>
      </c>
      <c r="Q35" s="1622">
        <v>28943838568</v>
      </c>
      <c r="R35" s="1622">
        <v>13617986503</v>
      </c>
      <c r="S35" s="1622">
        <v>152319962</v>
      </c>
      <c r="T35" s="594">
        <f t="shared" si="11"/>
        <v>0.47049690631068891</v>
      </c>
      <c r="U35" s="594">
        <f t="shared" si="9"/>
        <v>1.1185204359428935E-2</v>
      </c>
      <c r="V35" s="1624">
        <v>45374</v>
      </c>
      <c r="W35" s="1624">
        <v>45657</v>
      </c>
      <c r="X35" s="71" t="s">
        <v>5290</v>
      </c>
      <c r="Y35" s="3113"/>
    </row>
    <row r="36" spans="1:25" s="321" customFormat="1" ht="15.75">
      <c r="A36" s="88"/>
      <c r="B36" s="70">
        <v>53</v>
      </c>
      <c r="C36" s="70" t="s">
        <v>100</v>
      </c>
      <c r="D36" s="71" t="s">
        <v>175</v>
      </c>
      <c r="E36" s="88"/>
      <c r="F36" s="88"/>
      <c r="G36" s="88"/>
      <c r="H36" s="70"/>
      <c r="I36" s="88"/>
      <c r="J36" s="70"/>
      <c r="K36" s="88"/>
      <c r="L36" s="88"/>
      <c r="M36" s="88"/>
      <c r="N36" s="594"/>
      <c r="O36" s="88"/>
      <c r="P36" s="88"/>
      <c r="Q36" s="88"/>
      <c r="R36" s="88"/>
      <c r="S36" s="88"/>
      <c r="T36" s="88"/>
      <c r="U36" s="88"/>
      <c r="V36" s="88"/>
      <c r="W36" s="88"/>
      <c r="X36" s="88"/>
      <c r="Y36" s="88"/>
    </row>
    <row r="37" spans="1:25" s="321" customFormat="1" ht="15.75">
      <c r="A37" s="88"/>
      <c r="B37" s="70">
        <v>5305</v>
      </c>
      <c r="C37" s="70" t="s">
        <v>101</v>
      </c>
      <c r="D37" s="71" t="s">
        <v>955</v>
      </c>
      <c r="E37" s="88"/>
      <c r="F37" s="88"/>
      <c r="G37" s="88"/>
      <c r="H37" s="70"/>
      <c r="I37" s="88"/>
      <c r="J37" s="70"/>
      <c r="K37" s="88"/>
      <c r="L37" s="88"/>
      <c r="M37" s="88"/>
      <c r="N37" s="594"/>
      <c r="O37" s="88"/>
      <c r="P37" s="88"/>
      <c r="Q37" s="88"/>
      <c r="R37" s="88"/>
      <c r="S37" s="88"/>
      <c r="T37" s="88"/>
      <c r="U37" s="88"/>
      <c r="V37" s="88"/>
      <c r="W37" s="88"/>
      <c r="X37" s="88"/>
      <c r="Y37" s="88"/>
    </row>
    <row r="38" spans="1:25">
      <c r="A38" s="88"/>
      <c r="B38" s="70">
        <v>5305002</v>
      </c>
      <c r="C38" s="70" t="s">
        <v>102</v>
      </c>
      <c r="D38" s="71" t="s">
        <v>2394</v>
      </c>
      <c r="E38" s="88"/>
      <c r="F38" s="88"/>
      <c r="G38" s="88"/>
      <c r="H38" s="70"/>
      <c r="I38" s="88"/>
      <c r="J38" s="70"/>
      <c r="K38" s="88"/>
      <c r="L38" s="88"/>
      <c r="M38" s="88"/>
      <c r="N38" s="594"/>
      <c r="O38" s="88"/>
      <c r="P38" s="88"/>
      <c r="Q38" s="88"/>
      <c r="R38" s="88"/>
      <c r="S38" s="88"/>
      <c r="T38" s="88"/>
      <c r="U38" s="88"/>
      <c r="V38" s="88"/>
      <c r="W38" s="88"/>
      <c r="X38" s="88"/>
      <c r="Y38" s="88"/>
    </row>
    <row r="39" spans="1:25" ht="25.5">
      <c r="A39" s="88"/>
      <c r="B39" s="70">
        <v>53050020002</v>
      </c>
      <c r="C39" s="70" t="s">
        <v>103</v>
      </c>
      <c r="D39" s="71" t="s">
        <v>2395</v>
      </c>
      <c r="E39" s="88"/>
      <c r="F39" s="88"/>
      <c r="G39" s="88"/>
      <c r="H39" s="70">
        <f>+H42</f>
        <v>219</v>
      </c>
      <c r="I39" s="88"/>
      <c r="J39" s="70"/>
      <c r="K39" s="88"/>
      <c r="L39" s="88"/>
      <c r="M39" s="88"/>
      <c r="N39" s="594"/>
      <c r="O39" s="88"/>
      <c r="P39" s="88"/>
      <c r="Q39" s="88"/>
      <c r="R39" s="88"/>
      <c r="S39" s="88"/>
      <c r="T39" s="88"/>
      <c r="U39" s="88"/>
      <c r="V39" s="88"/>
      <c r="W39" s="88"/>
      <c r="X39" s="88"/>
      <c r="Y39" s="88"/>
    </row>
    <row r="40" spans="1:25" s="471" customFormat="1" ht="13.5" customHeight="1">
      <c r="A40" s="3110">
        <v>4147</v>
      </c>
      <c r="B40" s="3110"/>
      <c r="C40" s="3110" t="s">
        <v>451</v>
      </c>
      <c r="D40" s="3112" t="s">
        <v>2396</v>
      </c>
      <c r="E40" s="88" t="s">
        <v>2397</v>
      </c>
      <c r="F40" s="88"/>
      <c r="G40" s="88"/>
      <c r="H40" s="70"/>
      <c r="I40" s="88"/>
      <c r="J40" s="70"/>
      <c r="K40" s="88">
        <f>+K42</f>
        <v>219</v>
      </c>
      <c r="L40" s="188">
        <f>SUM(L41:L42)</f>
        <v>1</v>
      </c>
      <c r="M40" s="88"/>
      <c r="N40" s="593">
        <f>SUM(N41:N42)</f>
        <v>0.57808219178082187</v>
      </c>
      <c r="O40" s="3116">
        <f>+IF(Q40&gt;0,N40,"na")</f>
        <v>0.57808219178082187</v>
      </c>
      <c r="P40" s="1622">
        <f>SUM(P41:P42)</f>
        <v>919225200</v>
      </c>
      <c r="Q40" s="1622">
        <f>SUM(Q41:Q42)</f>
        <v>972757000</v>
      </c>
      <c r="R40" s="1622">
        <f>SUM(R41:R42)</f>
        <v>871848000</v>
      </c>
      <c r="S40" s="1622">
        <f>SUM(S41:S42)</f>
        <v>851216000</v>
      </c>
      <c r="T40" s="594">
        <f>IF(Q40=0,0,R40/Q40)</f>
        <v>0.8962649459217461</v>
      </c>
      <c r="U40" s="594">
        <f t="shared" ref="U40:U42" si="12">IF(R40=0,0,S40/R40)</f>
        <v>0.97633532450610661</v>
      </c>
      <c r="V40" s="88"/>
      <c r="W40" s="88"/>
      <c r="X40" s="88"/>
      <c r="Y40" s="88"/>
    </row>
    <row r="41" spans="1:25" s="471" customFormat="1" ht="121.5" customHeight="1">
      <c r="A41" s="3114"/>
      <c r="B41" s="3114"/>
      <c r="C41" s="3114"/>
      <c r="D41" s="3115"/>
      <c r="E41" s="88" t="s">
        <v>2398</v>
      </c>
      <c r="F41" s="88"/>
      <c r="G41" s="88"/>
      <c r="H41" s="70"/>
      <c r="I41" s="71" t="s">
        <v>2399</v>
      </c>
      <c r="J41" s="101" t="s">
        <v>2400</v>
      </c>
      <c r="K41" s="88">
        <v>1</v>
      </c>
      <c r="L41" s="594">
        <v>0.4</v>
      </c>
      <c r="M41" s="88">
        <v>0</v>
      </c>
      <c r="N41" s="594">
        <v>0.2</v>
      </c>
      <c r="O41" s="3117"/>
      <c r="P41" s="1622">
        <v>93769200</v>
      </c>
      <c r="Q41" s="1622">
        <v>147301000</v>
      </c>
      <c r="R41" s="1622">
        <v>46422000</v>
      </c>
      <c r="S41" s="1622">
        <v>25790000</v>
      </c>
      <c r="T41" s="594">
        <f t="shared" ref="T41:T42" si="13">IF(Q41=0,0,R41/Q41)</f>
        <v>0.31515060997549238</v>
      </c>
      <c r="U41" s="594">
        <f t="shared" si="12"/>
        <v>0.55555555555555558</v>
      </c>
      <c r="V41" s="1624">
        <v>45339</v>
      </c>
      <c r="W41" s="1624">
        <v>45596</v>
      </c>
      <c r="X41" s="71" t="s">
        <v>5291</v>
      </c>
      <c r="Y41" s="3112" t="s">
        <v>2345</v>
      </c>
    </row>
    <row r="42" spans="1:25" s="471" customFormat="1" ht="121.5" customHeight="1">
      <c r="A42" s="3111"/>
      <c r="B42" s="3111"/>
      <c r="C42" s="3111"/>
      <c r="D42" s="3113"/>
      <c r="E42" s="88" t="s">
        <v>2401</v>
      </c>
      <c r="F42" s="88"/>
      <c r="G42" s="71" t="s">
        <v>2395</v>
      </c>
      <c r="H42" s="70">
        <v>219</v>
      </c>
      <c r="I42" s="71" t="s">
        <v>2402</v>
      </c>
      <c r="J42" s="101" t="s">
        <v>2403</v>
      </c>
      <c r="K42" s="88">
        <v>219</v>
      </c>
      <c r="L42" s="594">
        <v>0.6</v>
      </c>
      <c r="M42" s="88">
        <v>138</v>
      </c>
      <c r="N42" s="594">
        <f>+M42*L42/K42</f>
        <v>0.37808219178082192</v>
      </c>
      <c r="O42" s="3118"/>
      <c r="P42" s="1622">
        <v>825456000</v>
      </c>
      <c r="Q42" s="1622">
        <v>825456000</v>
      </c>
      <c r="R42" s="1622">
        <v>825426000</v>
      </c>
      <c r="S42" s="1622">
        <v>825426000</v>
      </c>
      <c r="T42" s="594">
        <f t="shared" si="13"/>
        <v>0.99996365645170671</v>
      </c>
      <c r="U42" s="594">
        <f t="shared" si="12"/>
        <v>1</v>
      </c>
      <c r="V42" s="1624">
        <v>45351</v>
      </c>
      <c r="W42" s="1624">
        <v>45657</v>
      </c>
      <c r="X42" s="71" t="s">
        <v>5292</v>
      </c>
      <c r="Y42" s="3113"/>
    </row>
    <row r="43" spans="1:25" ht="25.5">
      <c r="A43" s="88"/>
      <c r="B43" s="70">
        <v>53050020007</v>
      </c>
      <c r="C43" s="70" t="s">
        <v>103</v>
      </c>
      <c r="D43" s="71" t="s">
        <v>2404</v>
      </c>
      <c r="E43" s="88"/>
      <c r="F43" s="88"/>
      <c r="G43" s="88"/>
      <c r="H43" s="70">
        <f>+H45</f>
        <v>1651.41</v>
      </c>
      <c r="I43" s="88"/>
      <c r="J43" s="70"/>
      <c r="K43" s="88"/>
      <c r="L43" s="88"/>
      <c r="M43" s="88"/>
      <c r="N43" s="594"/>
      <c r="O43" s="88"/>
      <c r="P43" s="88"/>
      <c r="Q43" s="88"/>
      <c r="R43" s="88"/>
      <c r="S43" s="88"/>
      <c r="T43" s="88"/>
      <c r="U43" s="88"/>
      <c r="V43" s="88"/>
      <c r="W43" s="88"/>
      <c r="X43" s="88"/>
      <c r="Y43" s="88"/>
    </row>
    <row r="44" spans="1:25" s="471" customFormat="1" ht="13.5" customHeight="1">
      <c r="A44" s="3110">
        <v>4147</v>
      </c>
      <c r="B44" s="3110"/>
      <c r="C44" s="3110" t="s">
        <v>451</v>
      </c>
      <c r="D44" s="3112" t="s">
        <v>2405</v>
      </c>
      <c r="E44" s="88" t="s">
        <v>2406</v>
      </c>
      <c r="F44" s="88"/>
      <c r="G44" s="88"/>
      <c r="H44" s="70"/>
      <c r="I44" s="88"/>
      <c r="J44" s="70"/>
      <c r="K44" s="88">
        <f>+K45</f>
        <v>1651.41</v>
      </c>
      <c r="L44" s="188">
        <f>SUM(L45:L46)</f>
        <v>1</v>
      </c>
      <c r="M44" s="88"/>
      <c r="N44" s="593">
        <f>SUM(N45:N46)</f>
        <v>0.1</v>
      </c>
      <c r="O44" s="3116">
        <f>+IF(Q44&gt;0,N44,"na")</f>
        <v>0.1</v>
      </c>
      <c r="P44" s="1622">
        <f>SUM(P45:P46)</f>
        <v>1233100000</v>
      </c>
      <c r="Q44" s="1622">
        <f>SUM(Q45:Q46)</f>
        <v>1134065500</v>
      </c>
      <c r="R44" s="1622">
        <f>SUM(R45:R46)</f>
        <v>94337500</v>
      </c>
      <c r="S44" s="1622">
        <f>SUM(S45:S46)</f>
        <v>88567500</v>
      </c>
      <c r="T44" s="594">
        <f>IF(Q44=0,0,R44/Q44)</f>
        <v>8.318523048271903E-2</v>
      </c>
      <c r="U44" s="594">
        <f t="shared" ref="U44:U46" si="14">IF(R44=0,0,S44/R44)</f>
        <v>0.93883662382403599</v>
      </c>
      <c r="V44" s="88"/>
      <c r="W44" s="88"/>
      <c r="X44" s="88"/>
      <c r="Y44" s="88"/>
    </row>
    <row r="45" spans="1:25" s="471" customFormat="1" ht="94.5" customHeight="1">
      <c r="A45" s="3114"/>
      <c r="B45" s="3114"/>
      <c r="C45" s="3114"/>
      <c r="D45" s="3115"/>
      <c r="E45" s="88" t="s">
        <v>2407</v>
      </c>
      <c r="F45" s="88"/>
      <c r="G45" s="71" t="s">
        <v>2404</v>
      </c>
      <c r="H45" s="70">
        <v>1651.41</v>
      </c>
      <c r="I45" s="71" t="s">
        <v>5293</v>
      </c>
      <c r="J45" s="101" t="s">
        <v>699</v>
      </c>
      <c r="K45" s="88">
        <v>1651.41</v>
      </c>
      <c r="L45" s="594">
        <v>0.9</v>
      </c>
      <c r="M45" s="88">
        <v>0</v>
      </c>
      <c r="N45" s="594">
        <v>0.1</v>
      </c>
      <c r="O45" s="3117"/>
      <c r="P45" s="1622">
        <v>993099905</v>
      </c>
      <c r="Q45" s="1622">
        <v>1116393887</v>
      </c>
      <c r="R45" s="1622">
        <v>94337500</v>
      </c>
      <c r="S45" s="1622">
        <v>88567500</v>
      </c>
      <c r="T45" s="594">
        <f t="shared" ref="T45:T46" si="15">IF(Q45=0,0,R45/Q45)</f>
        <v>8.4501985453813225E-2</v>
      </c>
      <c r="U45" s="594">
        <f t="shared" si="14"/>
        <v>0.93883662382403599</v>
      </c>
      <c r="V45" s="1624">
        <v>45340</v>
      </c>
      <c r="W45" s="1624">
        <v>45657</v>
      </c>
      <c r="X45" s="71" t="s">
        <v>5294</v>
      </c>
      <c r="Y45" s="3112" t="s">
        <v>2366</v>
      </c>
    </row>
    <row r="46" spans="1:25" s="471" customFormat="1" ht="40.5" customHeight="1">
      <c r="A46" s="3111"/>
      <c r="B46" s="3111"/>
      <c r="C46" s="3111"/>
      <c r="D46" s="3113"/>
      <c r="E46" s="88" t="s">
        <v>2408</v>
      </c>
      <c r="F46" s="88"/>
      <c r="G46" s="88"/>
      <c r="H46" s="70"/>
      <c r="I46" s="71" t="s">
        <v>2409</v>
      </c>
      <c r="J46" s="101" t="s">
        <v>2348</v>
      </c>
      <c r="K46" s="88">
        <v>1</v>
      </c>
      <c r="L46" s="594">
        <v>0.1</v>
      </c>
      <c r="M46" s="88">
        <v>0</v>
      </c>
      <c r="N46" s="594">
        <v>0</v>
      </c>
      <c r="O46" s="3118"/>
      <c r="P46" s="1622">
        <v>240000095</v>
      </c>
      <c r="Q46" s="1622">
        <v>17671613</v>
      </c>
      <c r="R46" s="1626">
        <v>0</v>
      </c>
      <c r="S46" s="1626">
        <v>0</v>
      </c>
      <c r="T46" s="594">
        <f t="shared" si="15"/>
        <v>0</v>
      </c>
      <c r="U46" s="594">
        <f t="shared" si="14"/>
        <v>0</v>
      </c>
      <c r="V46" s="1624"/>
      <c r="W46" s="1624"/>
      <c r="X46" s="88"/>
      <c r="Y46" s="3113"/>
    </row>
    <row r="47" spans="1:25" ht="25.5">
      <c r="A47" s="88"/>
      <c r="B47" s="70">
        <v>53050020013</v>
      </c>
      <c r="C47" s="70" t="s">
        <v>103</v>
      </c>
      <c r="D47" s="71" t="s">
        <v>2410</v>
      </c>
      <c r="E47" s="88"/>
      <c r="F47" s="88"/>
      <c r="G47" s="88"/>
      <c r="H47" s="70"/>
      <c r="I47" s="88"/>
      <c r="J47" s="70"/>
      <c r="K47" s="88"/>
      <c r="L47" s="88"/>
      <c r="M47" s="88"/>
      <c r="N47" s="594"/>
      <c r="O47" s="88"/>
      <c r="P47" s="88"/>
      <c r="Q47" s="88"/>
      <c r="R47" s="88"/>
      <c r="S47" s="88"/>
      <c r="T47" s="88"/>
      <c r="U47" s="88"/>
      <c r="V47" s="88"/>
      <c r="W47" s="88"/>
      <c r="X47" s="88"/>
      <c r="Y47" s="88"/>
    </row>
    <row r="48" spans="1:25" s="471" customFormat="1" ht="13.5" customHeight="1">
      <c r="A48" s="3110">
        <v>4147</v>
      </c>
      <c r="B48" s="3110"/>
      <c r="C48" s="3110" t="s">
        <v>451</v>
      </c>
      <c r="D48" s="3112" t="s">
        <v>2411</v>
      </c>
      <c r="E48" s="88" t="s">
        <v>2412</v>
      </c>
      <c r="F48" s="88"/>
      <c r="G48" s="88"/>
      <c r="H48" s="70"/>
      <c r="I48" s="88"/>
      <c r="J48" s="70"/>
      <c r="K48" s="88"/>
      <c r="L48" s="188">
        <f>SUM(L49:L51)</f>
        <v>1</v>
      </c>
      <c r="M48" s="88"/>
      <c r="N48" s="593">
        <f>SUM(N49:N51)</f>
        <v>0.5</v>
      </c>
      <c r="O48" s="3116">
        <f>+IF(Q48&gt;0,N48,"na")</f>
        <v>0.5</v>
      </c>
      <c r="P48" s="1622">
        <f>SUM(P49:P51)</f>
        <v>246462440</v>
      </c>
      <c r="Q48" s="1622">
        <f>SUM(Q49:Q51)</f>
        <v>1160812187</v>
      </c>
      <c r="R48" s="1622">
        <f>SUM(R49:R51)</f>
        <v>160924500</v>
      </c>
      <c r="S48" s="1622">
        <f>SUM(S49:S51)</f>
        <v>89912500</v>
      </c>
      <c r="T48" s="594">
        <f>IF(Q48=0,0,R48/Q48)</f>
        <v>0.13863095322585547</v>
      </c>
      <c r="U48" s="594">
        <f t="shared" ref="U48:U51" si="16">IF(R48=0,0,S48/R48)</f>
        <v>0.5587247435909386</v>
      </c>
      <c r="V48" s="88"/>
      <c r="W48" s="88"/>
      <c r="X48" s="88"/>
      <c r="Y48" s="88"/>
    </row>
    <row r="49" spans="1:25" s="471" customFormat="1" ht="94.5" customHeight="1">
      <c r="A49" s="3114"/>
      <c r="B49" s="3114"/>
      <c r="C49" s="3114"/>
      <c r="D49" s="3115"/>
      <c r="E49" s="88" t="s">
        <v>2413</v>
      </c>
      <c r="F49" s="88"/>
      <c r="G49" s="88"/>
      <c r="H49" s="70"/>
      <c r="I49" s="71" t="s">
        <v>2414</v>
      </c>
      <c r="J49" s="101" t="s">
        <v>2415</v>
      </c>
      <c r="K49" s="88">
        <v>1</v>
      </c>
      <c r="L49" s="594">
        <v>0.6</v>
      </c>
      <c r="M49" s="88">
        <v>0</v>
      </c>
      <c r="N49" s="594">
        <v>0.3</v>
      </c>
      <c r="O49" s="3117"/>
      <c r="P49" s="1622">
        <v>147877464</v>
      </c>
      <c r="Q49" s="1622">
        <v>179493524</v>
      </c>
      <c r="R49" s="1622">
        <v>102910500</v>
      </c>
      <c r="S49" s="1622">
        <v>70574500</v>
      </c>
      <c r="T49" s="594">
        <f t="shared" ref="T49:T51" si="17">IF(Q49=0,0,R49/Q49)</f>
        <v>0.57333823364011727</v>
      </c>
      <c r="U49" s="594">
        <f t="shared" si="16"/>
        <v>0.68578522113875651</v>
      </c>
      <c r="V49" s="1624">
        <v>45339</v>
      </c>
      <c r="W49" s="1624">
        <v>45596</v>
      </c>
      <c r="X49" s="71" t="s">
        <v>5295</v>
      </c>
      <c r="Y49" s="3112" t="s">
        <v>2345</v>
      </c>
    </row>
    <row r="50" spans="1:25" s="471" customFormat="1" ht="94.5" customHeight="1">
      <c r="A50" s="3114"/>
      <c r="B50" s="3114"/>
      <c r="C50" s="3114"/>
      <c r="D50" s="3115"/>
      <c r="E50" s="88" t="s">
        <v>5296</v>
      </c>
      <c r="F50" s="88"/>
      <c r="G50" s="71" t="s">
        <v>2410</v>
      </c>
      <c r="H50" s="70"/>
      <c r="I50" s="71" t="s">
        <v>5297</v>
      </c>
      <c r="J50" s="101" t="s">
        <v>2357</v>
      </c>
      <c r="K50" s="88">
        <v>0</v>
      </c>
      <c r="L50" s="594">
        <v>0</v>
      </c>
      <c r="M50" s="88">
        <v>0</v>
      </c>
      <c r="N50" s="594">
        <v>0</v>
      </c>
      <c r="O50" s="3117"/>
      <c r="P50" s="1622">
        <v>0</v>
      </c>
      <c r="Q50" s="1622">
        <v>882733687</v>
      </c>
      <c r="R50" s="1622">
        <v>0</v>
      </c>
      <c r="S50" s="1622">
        <v>0</v>
      </c>
      <c r="T50" s="594">
        <f t="shared" si="17"/>
        <v>0</v>
      </c>
      <c r="U50" s="594">
        <f t="shared" si="16"/>
        <v>0</v>
      </c>
      <c r="V50" s="1624"/>
      <c r="W50" s="1624"/>
      <c r="X50" s="71"/>
      <c r="Y50" s="3115"/>
    </row>
    <row r="51" spans="1:25" ht="102">
      <c r="A51" s="3111"/>
      <c r="B51" s="3111"/>
      <c r="C51" s="3111"/>
      <c r="D51" s="3113"/>
      <c r="E51" s="88" t="s">
        <v>2416</v>
      </c>
      <c r="F51" s="88"/>
      <c r="G51" s="88"/>
      <c r="H51" s="70"/>
      <c r="I51" s="71" t="s">
        <v>2417</v>
      </c>
      <c r="J51" s="101" t="s">
        <v>2348</v>
      </c>
      <c r="K51" s="88">
        <v>1</v>
      </c>
      <c r="L51" s="594">
        <v>0.4</v>
      </c>
      <c r="M51" s="88">
        <v>0</v>
      </c>
      <c r="N51" s="594">
        <v>0.2</v>
      </c>
      <c r="O51" s="3118"/>
      <c r="P51" s="1622">
        <v>98584976</v>
      </c>
      <c r="Q51" s="1622">
        <v>98584976</v>
      </c>
      <c r="R51" s="1622">
        <v>58014000</v>
      </c>
      <c r="S51" s="1622">
        <v>19338000</v>
      </c>
      <c r="T51" s="594">
        <f t="shared" si="17"/>
        <v>0.5884669485541083</v>
      </c>
      <c r="U51" s="594">
        <f t="shared" si="16"/>
        <v>0.33333333333333331</v>
      </c>
      <c r="V51" s="1624">
        <v>45339</v>
      </c>
      <c r="W51" s="1624">
        <v>45596</v>
      </c>
      <c r="X51" s="71" t="s">
        <v>5298</v>
      </c>
      <c r="Y51" s="3113"/>
    </row>
    <row r="52" spans="1:25" s="471" customFormat="1" ht="13.5" customHeight="1">
      <c r="A52" s="88"/>
      <c r="B52" s="70">
        <v>53050020015</v>
      </c>
      <c r="C52" s="1628" t="s">
        <v>103</v>
      </c>
      <c r="D52" s="71" t="s">
        <v>2418</v>
      </c>
      <c r="E52" s="88"/>
      <c r="F52" s="88"/>
      <c r="G52" s="88"/>
      <c r="H52" s="70">
        <f>+H54</f>
        <v>1</v>
      </c>
      <c r="I52" s="88"/>
      <c r="J52" s="70"/>
      <c r="K52" s="88"/>
      <c r="L52" s="88"/>
      <c r="M52" s="88"/>
      <c r="N52" s="594"/>
      <c r="O52" s="88"/>
      <c r="P52" s="88"/>
      <c r="Q52" s="88"/>
      <c r="R52" s="88"/>
      <c r="S52" s="88"/>
      <c r="T52" s="88"/>
      <c r="U52" s="88"/>
      <c r="V52" s="88"/>
      <c r="W52" s="88"/>
      <c r="X52" s="71"/>
      <c r="Y52" s="88"/>
    </row>
    <row r="53" spans="1:25" s="471" customFormat="1" ht="162" customHeight="1">
      <c r="A53" s="3110">
        <v>4147</v>
      </c>
      <c r="B53" s="3110"/>
      <c r="C53" s="3110" t="s">
        <v>451</v>
      </c>
      <c r="D53" s="3112" t="s">
        <v>2419</v>
      </c>
      <c r="E53" s="88" t="s">
        <v>2420</v>
      </c>
      <c r="F53" s="88"/>
      <c r="G53" s="88"/>
      <c r="H53" s="70"/>
      <c r="I53" s="88"/>
      <c r="J53" s="70"/>
      <c r="K53" s="88"/>
      <c r="L53" s="188">
        <f>+L54</f>
        <v>1</v>
      </c>
      <c r="M53" s="88"/>
      <c r="N53" s="593">
        <f>+N54</f>
        <v>0.5</v>
      </c>
      <c r="O53" s="88"/>
      <c r="P53" s="1622">
        <f>+P54</f>
        <v>133100000</v>
      </c>
      <c r="Q53" s="1622">
        <f>+Q54</f>
        <v>292022000</v>
      </c>
      <c r="R53" s="1622">
        <f>+R54</f>
        <v>179029000</v>
      </c>
      <c r="S53" s="1622">
        <f>+S54</f>
        <v>66682000</v>
      </c>
      <c r="T53" s="594">
        <f>IF(Q53=0,0,R53/Q53)</f>
        <v>0.61306682373245847</v>
      </c>
      <c r="U53" s="594">
        <f t="shared" ref="U53:U54" si="18">IF(R53=0,0,S53/R53)</f>
        <v>0.37246479620620121</v>
      </c>
      <c r="V53" s="88"/>
      <c r="W53" s="88"/>
      <c r="X53" s="88"/>
      <c r="Y53" s="88"/>
    </row>
    <row r="54" spans="1:25" s="321" customFormat="1" ht="114.75">
      <c r="A54" s="3111"/>
      <c r="B54" s="3111"/>
      <c r="C54" s="3111"/>
      <c r="D54" s="3113"/>
      <c r="E54" s="88" t="s">
        <v>2421</v>
      </c>
      <c r="F54" s="88"/>
      <c r="G54" s="71" t="s">
        <v>2418</v>
      </c>
      <c r="H54" s="70">
        <v>1</v>
      </c>
      <c r="I54" s="71" t="s">
        <v>2422</v>
      </c>
      <c r="J54" s="101" t="s">
        <v>122</v>
      </c>
      <c r="K54" s="88">
        <v>1</v>
      </c>
      <c r="L54" s="594">
        <v>1</v>
      </c>
      <c r="M54" s="88">
        <v>0</v>
      </c>
      <c r="N54" s="593">
        <v>0.5</v>
      </c>
      <c r="O54" s="1629">
        <f>+IF(Q53&gt;0,N53,"na")</f>
        <v>0.5</v>
      </c>
      <c r="P54" s="1622">
        <v>133100000</v>
      </c>
      <c r="Q54" s="1622">
        <v>292022000</v>
      </c>
      <c r="R54" s="135">
        <v>179029000</v>
      </c>
      <c r="S54" s="135">
        <v>66682000</v>
      </c>
      <c r="T54" s="594">
        <f>IF(Q54=0,0,R54/Q54)</f>
        <v>0.61306682373245847</v>
      </c>
      <c r="U54" s="594">
        <f t="shared" si="18"/>
        <v>0.37246479620620121</v>
      </c>
      <c r="V54" s="1624">
        <v>45345</v>
      </c>
      <c r="W54" s="1624">
        <v>45596</v>
      </c>
      <c r="X54" s="71" t="s">
        <v>5299</v>
      </c>
      <c r="Y54" s="111" t="s">
        <v>2366</v>
      </c>
    </row>
    <row r="55" spans="1:25" s="321" customFormat="1" ht="15.75">
      <c r="A55" s="88"/>
      <c r="B55" s="70">
        <v>52</v>
      </c>
      <c r="C55" s="70" t="s">
        <v>100</v>
      </c>
      <c r="D55" s="71" t="s">
        <v>108</v>
      </c>
      <c r="E55" s="88"/>
      <c r="F55" s="88"/>
      <c r="G55" s="88"/>
      <c r="H55" s="70"/>
      <c r="I55" s="88"/>
      <c r="J55" s="70"/>
      <c r="K55" s="88"/>
      <c r="L55" s="88"/>
      <c r="M55" s="88"/>
      <c r="N55" s="594"/>
      <c r="O55" s="88"/>
      <c r="P55" s="88"/>
      <c r="Q55" s="88"/>
      <c r="R55" s="88"/>
      <c r="S55" s="88"/>
      <c r="T55" s="88"/>
      <c r="U55" s="88"/>
      <c r="V55" s="88"/>
      <c r="W55" s="88"/>
      <c r="X55" s="88"/>
      <c r="Y55" s="88"/>
    </row>
    <row r="56" spans="1:25">
      <c r="A56" s="88"/>
      <c r="B56" s="70">
        <v>5203</v>
      </c>
      <c r="C56" s="70" t="s">
        <v>101</v>
      </c>
      <c r="D56" s="71" t="s">
        <v>104</v>
      </c>
      <c r="E56" s="88"/>
      <c r="F56" s="88"/>
      <c r="G56" s="88"/>
      <c r="H56" s="70"/>
      <c r="I56" s="88"/>
      <c r="J56" s="70"/>
      <c r="K56" s="88"/>
      <c r="L56" s="88"/>
      <c r="M56" s="88"/>
      <c r="N56" s="594"/>
      <c r="O56" s="88"/>
      <c r="P56" s="88"/>
      <c r="Q56" s="88"/>
      <c r="R56" s="88"/>
      <c r="S56" s="88"/>
      <c r="T56" s="88"/>
      <c r="U56" s="88"/>
      <c r="V56" s="88"/>
      <c r="W56" s="88"/>
      <c r="X56" s="88"/>
      <c r="Y56" s="88"/>
    </row>
    <row r="57" spans="1:25" ht="16.5" customHeight="1">
      <c r="A57" s="88"/>
      <c r="B57" s="70">
        <v>5402001</v>
      </c>
      <c r="C57" s="70" t="s">
        <v>102</v>
      </c>
      <c r="D57" s="71" t="s">
        <v>105</v>
      </c>
      <c r="E57" s="88"/>
      <c r="F57" s="88"/>
      <c r="G57" s="88"/>
      <c r="H57" s="70"/>
      <c r="I57" s="88"/>
      <c r="J57" s="70"/>
      <c r="K57" s="88"/>
      <c r="L57" s="88"/>
      <c r="M57" s="88"/>
      <c r="N57" s="594"/>
      <c r="O57" s="88"/>
      <c r="P57" s="88"/>
      <c r="Q57" s="88"/>
      <c r="R57" s="88"/>
      <c r="S57" s="88"/>
      <c r="T57" s="88"/>
      <c r="U57" s="88"/>
      <c r="V57" s="88"/>
      <c r="W57" s="88"/>
      <c r="X57" s="88"/>
      <c r="Y57" s="88"/>
    </row>
    <row r="58" spans="1:25" s="471" customFormat="1" ht="13.5" customHeight="1">
      <c r="A58" s="88"/>
      <c r="B58" s="70">
        <v>54020010032</v>
      </c>
      <c r="C58" s="70" t="s">
        <v>103</v>
      </c>
      <c r="D58" s="71" t="s">
        <v>2423</v>
      </c>
      <c r="E58" s="88"/>
      <c r="F58" s="88"/>
      <c r="G58" s="88"/>
      <c r="H58" s="70">
        <f>+H60</f>
        <v>1</v>
      </c>
      <c r="I58" s="88"/>
      <c r="J58" s="70"/>
      <c r="K58" s="88"/>
      <c r="L58" s="88"/>
      <c r="M58" s="88"/>
      <c r="N58" s="594"/>
      <c r="O58" s="88"/>
      <c r="P58" s="88"/>
      <c r="Q58" s="88"/>
      <c r="R58" s="88"/>
      <c r="S58" s="88"/>
      <c r="T58" s="88"/>
      <c r="U58" s="88"/>
      <c r="V58" s="88"/>
      <c r="W58" s="88"/>
      <c r="X58" s="88"/>
      <c r="Y58" s="88"/>
    </row>
    <row r="59" spans="1:25" s="471" customFormat="1" ht="13.5">
      <c r="A59" s="3110">
        <v>4147</v>
      </c>
      <c r="B59" s="3110"/>
      <c r="C59" s="3110" t="s">
        <v>451</v>
      </c>
      <c r="D59" s="3112" t="s">
        <v>2424</v>
      </c>
      <c r="E59" s="88" t="s">
        <v>2425</v>
      </c>
      <c r="F59" s="88"/>
      <c r="G59" s="88"/>
      <c r="H59" s="70"/>
      <c r="I59" s="88"/>
      <c r="J59" s="70"/>
      <c r="K59" s="88"/>
      <c r="L59" s="188">
        <f>+L60</f>
        <v>1</v>
      </c>
      <c r="M59" s="88"/>
      <c r="N59" s="593">
        <f>+N60</f>
        <v>0.54</v>
      </c>
      <c r="O59" s="88"/>
      <c r="P59" s="1622">
        <f>+P60</f>
        <v>431400000</v>
      </c>
      <c r="Q59" s="1622">
        <f>+Q60</f>
        <v>224849500</v>
      </c>
      <c r="R59" s="1622">
        <f>+R60</f>
        <v>208751500</v>
      </c>
      <c r="S59" s="1622">
        <f>+S60</f>
        <v>124467500</v>
      </c>
      <c r="T59" s="594">
        <f>IF(Q59=0,0,R59/Q59)</f>
        <v>0.92840544453067497</v>
      </c>
      <c r="U59" s="594">
        <f t="shared" ref="U59:U60" si="19">IF(R59=0,0,S59/R59)</f>
        <v>0.59624721259487956</v>
      </c>
      <c r="V59" s="88"/>
      <c r="W59" s="88"/>
      <c r="X59" s="88"/>
      <c r="Y59" s="88"/>
    </row>
    <row r="60" spans="1:25" ht="127.5">
      <c r="A60" s="3111"/>
      <c r="B60" s="3111"/>
      <c r="C60" s="3111"/>
      <c r="D60" s="3113"/>
      <c r="E60" s="88" t="s">
        <v>2426</v>
      </c>
      <c r="F60" s="88"/>
      <c r="G60" s="71" t="s">
        <v>2423</v>
      </c>
      <c r="H60" s="70">
        <v>1</v>
      </c>
      <c r="I60" s="71" t="s">
        <v>2427</v>
      </c>
      <c r="J60" s="101" t="s">
        <v>2428</v>
      </c>
      <c r="K60" s="88"/>
      <c r="L60" s="594">
        <v>1</v>
      </c>
      <c r="M60" s="88">
        <v>0</v>
      </c>
      <c r="N60" s="593">
        <v>0.54</v>
      </c>
      <c r="O60" s="1629">
        <f>+IF(Q59&gt;0,N59,"na")</f>
        <v>0.54</v>
      </c>
      <c r="P60" s="1622">
        <v>431400000</v>
      </c>
      <c r="Q60" s="1622">
        <v>224849500</v>
      </c>
      <c r="R60" s="135">
        <v>208751500</v>
      </c>
      <c r="S60" s="135">
        <v>124467500</v>
      </c>
      <c r="T60" s="594">
        <f>IF(Q60=0,0,R60/Q60)</f>
        <v>0.92840544453067497</v>
      </c>
      <c r="U60" s="594">
        <f t="shared" si="19"/>
        <v>0.59624721259487956</v>
      </c>
      <c r="V60" s="1624">
        <v>45336</v>
      </c>
      <c r="W60" s="1624">
        <v>45596</v>
      </c>
      <c r="X60" s="71" t="s">
        <v>5300</v>
      </c>
      <c r="Y60" s="111" t="s">
        <v>2429</v>
      </c>
    </row>
    <row r="61" spans="1:25" s="471" customFormat="1" ht="13.5" customHeight="1">
      <c r="A61" s="88"/>
      <c r="B61" s="70">
        <v>54020010039</v>
      </c>
      <c r="C61" s="70" t="s">
        <v>103</v>
      </c>
      <c r="D61" s="71" t="s">
        <v>2430</v>
      </c>
      <c r="E61" s="88"/>
      <c r="F61" s="88"/>
      <c r="G61" s="88"/>
      <c r="H61" s="70">
        <f>+H63</f>
        <v>1748</v>
      </c>
      <c r="I61" s="88"/>
      <c r="J61" s="70"/>
      <c r="K61" s="88"/>
      <c r="L61" s="88"/>
      <c r="M61" s="88"/>
      <c r="N61" s="594"/>
      <c r="O61" s="88"/>
      <c r="P61" s="88"/>
      <c r="Q61" s="88"/>
      <c r="R61" s="88"/>
      <c r="S61" s="88"/>
      <c r="T61" s="88"/>
      <c r="U61" s="88"/>
      <c r="V61" s="88"/>
      <c r="W61" s="88"/>
      <c r="X61" s="88"/>
      <c r="Y61" s="88"/>
    </row>
    <row r="62" spans="1:25" s="471" customFormat="1" ht="121.5" customHeight="1">
      <c r="A62" s="3110">
        <v>4147</v>
      </c>
      <c r="B62" s="3110"/>
      <c r="C62" s="3110" t="s">
        <v>451</v>
      </c>
      <c r="D62" s="3112" t="s">
        <v>2431</v>
      </c>
      <c r="E62" s="88" t="s">
        <v>2432</v>
      </c>
      <c r="F62" s="88"/>
      <c r="G62" s="88"/>
      <c r="H62" s="70"/>
      <c r="I62" s="88"/>
      <c r="J62" s="70"/>
      <c r="K62" s="88">
        <f>+K63</f>
        <v>1748</v>
      </c>
      <c r="L62" s="188">
        <f>SUM(L63:L64)</f>
        <v>1</v>
      </c>
      <c r="M62" s="88"/>
      <c r="N62" s="593">
        <f>SUM(N63:N64)</f>
        <v>0.51</v>
      </c>
      <c r="O62" s="3116">
        <f>+IF(Q62&gt;0,N62,"na")</f>
        <v>0.51</v>
      </c>
      <c r="P62" s="1622">
        <f>SUM(P63:P64)</f>
        <v>1534243680</v>
      </c>
      <c r="Q62" s="1622">
        <f>SUM(Q63:Q64)</f>
        <v>3919909680</v>
      </c>
      <c r="R62" s="1622">
        <f>SUM(R63:R64)</f>
        <v>2101134000</v>
      </c>
      <c r="S62" s="1622">
        <f>SUM(S63:S64)</f>
        <v>1191087000</v>
      </c>
      <c r="T62" s="594">
        <f>IF(Q62=0,0,R62/Q62)</f>
        <v>0.53601592167297074</v>
      </c>
      <c r="U62" s="594">
        <f t="shared" ref="U62:U64" si="20">IF(R62=0,0,S62/R62)</f>
        <v>0.56687817150167485</v>
      </c>
      <c r="V62" s="88"/>
      <c r="W62" s="88"/>
      <c r="X62" s="88"/>
      <c r="Y62" s="88"/>
    </row>
    <row r="63" spans="1:25" s="471" customFormat="1" ht="89.25">
      <c r="A63" s="3114"/>
      <c r="B63" s="3114"/>
      <c r="C63" s="3114"/>
      <c r="D63" s="3115"/>
      <c r="E63" s="88" t="s">
        <v>2433</v>
      </c>
      <c r="F63" s="88"/>
      <c r="G63" s="71" t="s">
        <v>2430</v>
      </c>
      <c r="H63" s="111">
        <v>1748</v>
      </c>
      <c r="I63" s="71" t="s">
        <v>2434</v>
      </c>
      <c r="J63" s="101" t="s">
        <v>1163</v>
      </c>
      <c r="K63" s="88">
        <v>1748</v>
      </c>
      <c r="L63" s="594">
        <v>0.7</v>
      </c>
      <c r="M63" s="88">
        <v>0</v>
      </c>
      <c r="N63" s="594">
        <v>0.36</v>
      </c>
      <c r="O63" s="3117"/>
      <c r="P63" s="1622">
        <v>478324224</v>
      </c>
      <c r="Q63" s="1622">
        <v>2383990224</v>
      </c>
      <c r="R63" s="135">
        <v>575795000</v>
      </c>
      <c r="S63" s="135">
        <v>285834000</v>
      </c>
      <c r="T63" s="594">
        <f t="shared" ref="T63:T64" si="21">IF(Q63=0,0,R63/Q63)</f>
        <v>0.24152573873977429</v>
      </c>
      <c r="U63" s="594">
        <f t="shared" si="20"/>
        <v>0.49641625925893762</v>
      </c>
      <c r="V63" s="1624">
        <v>45314</v>
      </c>
      <c r="W63" s="1624">
        <v>45596</v>
      </c>
      <c r="X63" s="71" t="s">
        <v>5301</v>
      </c>
      <c r="Y63" s="3112" t="s">
        <v>2429</v>
      </c>
    </row>
    <row r="64" spans="1:25" ht="63.75">
      <c r="A64" s="3111"/>
      <c r="B64" s="3111"/>
      <c r="C64" s="3111"/>
      <c r="D64" s="3113"/>
      <c r="E64" s="88" t="s">
        <v>2435</v>
      </c>
      <c r="F64" s="88"/>
      <c r="G64" s="88"/>
      <c r="H64" s="70"/>
      <c r="I64" s="71" t="s">
        <v>2436</v>
      </c>
      <c r="J64" s="101" t="s">
        <v>2437</v>
      </c>
      <c r="K64" s="88">
        <v>1</v>
      </c>
      <c r="L64" s="594">
        <v>0.3</v>
      </c>
      <c r="M64" s="88">
        <v>0</v>
      </c>
      <c r="N64" s="594">
        <v>0.15</v>
      </c>
      <c r="O64" s="3118"/>
      <c r="P64" s="1622">
        <v>1055919456</v>
      </c>
      <c r="Q64" s="1622">
        <v>1535919456</v>
      </c>
      <c r="R64" s="135">
        <v>1525339000</v>
      </c>
      <c r="S64" s="135">
        <v>905253000</v>
      </c>
      <c r="T64" s="594">
        <f t="shared" si="21"/>
        <v>0.99311132106656508</v>
      </c>
      <c r="U64" s="594">
        <f t="shared" si="20"/>
        <v>0.59347659766124117</v>
      </c>
      <c r="V64" s="1624">
        <v>45315</v>
      </c>
      <c r="W64" s="1624">
        <v>45596</v>
      </c>
      <c r="X64" s="71" t="s">
        <v>5302</v>
      </c>
      <c r="Y64" s="3113"/>
    </row>
    <row r="65" spans="1:25">
      <c r="A65" s="88"/>
      <c r="B65" s="70">
        <v>5402004</v>
      </c>
      <c r="C65" s="70" t="s">
        <v>102</v>
      </c>
      <c r="D65" s="71" t="s">
        <v>565</v>
      </c>
      <c r="E65" s="88"/>
      <c r="F65" s="88"/>
      <c r="G65" s="88"/>
      <c r="H65" s="70"/>
      <c r="I65" s="88"/>
      <c r="J65" s="70"/>
      <c r="K65" s="88"/>
      <c r="L65" s="88"/>
      <c r="M65" s="88"/>
      <c r="N65" s="594"/>
      <c r="O65" s="88"/>
      <c r="P65" s="88"/>
      <c r="Q65" s="88"/>
      <c r="R65" s="88"/>
      <c r="S65" s="88"/>
      <c r="T65" s="88"/>
      <c r="U65" s="88"/>
      <c r="V65" s="88"/>
      <c r="W65" s="88"/>
      <c r="X65" s="88"/>
      <c r="Y65" s="88"/>
    </row>
    <row r="66" spans="1:25" s="471" customFormat="1" ht="13.5" customHeight="1">
      <c r="A66" s="88"/>
      <c r="B66" s="70">
        <v>54020040011</v>
      </c>
      <c r="C66" s="70" t="s">
        <v>103</v>
      </c>
      <c r="D66" s="71" t="s">
        <v>2438</v>
      </c>
      <c r="E66" s="88"/>
      <c r="F66" s="88"/>
      <c r="G66" s="88"/>
      <c r="H66" s="70">
        <f>+H68</f>
        <v>563</v>
      </c>
      <c r="I66" s="88"/>
      <c r="J66" s="70"/>
      <c r="K66" s="88"/>
      <c r="L66" s="88"/>
      <c r="M66" s="88"/>
      <c r="N66" s="594"/>
      <c r="O66" s="88"/>
      <c r="P66" s="88"/>
      <c r="Q66" s="88"/>
      <c r="R66" s="88"/>
      <c r="S66" s="88"/>
      <c r="T66" s="88"/>
      <c r="U66" s="88"/>
      <c r="V66" s="88"/>
      <c r="W66" s="88"/>
      <c r="X66" s="88"/>
      <c r="Y66" s="88"/>
    </row>
    <row r="67" spans="1:25" s="471" customFormat="1" ht="67.5" customHeight="1">
      <c r="A67" s="3110">
        <v>4147</v>
      </c>
      <c r="B67" s="3110"/>
      <c r="C67" s="3110" t="s">
        <v>451</v>
      </c>
      <c r="D67" s="3112" t="s">
        <v>2439</v>
      </c>
      <c r="E67" s="88" t="s">
        <v>2440</v>
      </c>
      <c r="F67" s="88"/>
      <c r="G67" s="88"/>
      <c r="H67" s="70"/>
      <c r="I67" s="88"/>
      <c r="J67" s="70"/>
      <c r="K67" s="88">
        <f>+K68</f>
        <v>563</v>
      </c>
      <c r="L67" s="188">
        <f>SUM(L68:L69)</f>
        <v>1</v>
      </c>
      <c r="M67" s="88"/>
      <c r="N67" s="593">
        <f>SUM(N68:N69)</f>
        <v>0.46922735346358796</v>
      </c>
      <c r="O67" s="88"/>
      <c r="P67" s="1622">
        <f>SUM(P68:P69)</f>
        <v>1159596157</v>
      </c>
      <c r="Q67" s="1622">
        <f>SUM(Q68:Q69)</f>
        <v>1159596157</v>
      </c>
      <c r="R67" s="1622">
        <f>SUM(R68:R69)</f>
        <v>1077378500</v>
      </c>
      <c r="S67" s="1622">
        <f>SUM(S68:S69)</f>
        <v>457606500</v>
      </c>
      <c r="T67" s="594">
        <f>IF(Q67=0,0,R67/Q67)</f>
        <v>0.92909802563272892</v>
      </c>
      <c r="U67" s="594">
        <f t="shared" ref="U67" si="22">IF(R67=0,0,S67/R67)</f>
        <v>0.42474070161971861</v>
      </c>
      <c r="V67" s="88"/>
      <c r="W67" s="88"/>
      <c r="X67" s="88"/>
      <c r="Y67" s="88"/>
    </row>
    <row r="68" spans="1:25" s="471" customFormat="1" ht="54" customHeight="1">
      <c r="A68" s="3114"/>
      <c r="B68" s="3114"/>
      <c r="C68" s="3114"/>
      <c r="D68" s="3115"/>
      <c r="E68" s="88" t="s">
        <v>2441</v>
      </c>
      <c r="F68" s="88"/>
      <c r="G68" s="71" t="s">
        <v>2442</v>
      </c>
      <c r="H68" s="111">
        <v>563</v>
      </c>
      <c r="I68" s="71" t="s">
        <v>2443</v>
      </c>
      <c r="J68" s="71" t="s">
        <v>2444</v>
      </c>
      <c r="K68" s="88">
        <v>563</v>
      </c>
      <c r="L68" s="594">
        <v>0.63</v>
      </c>
      <c r="M68" s="135">
        <v>254</v>
      </c>
      <c r="N68" s="594">
        <f>+M68*L68/K68</f>
        <v>0.28422735346358796</v>
      </c>
      <c r="O68" s="3133">
        <f>+IF(Q67&gt;0,N67,"na")</f>
        <v>0.46922735346358796</v>
      </c>
      <c r="P68" s="1622">
        <v>681595753</v>
      </c>
      <c r="Q68" s="1622">
        <v>890258295</v>
      </c>
      <c r="R68" s="135">
        <v>808803500</v>
      </c>
      <c r="S68" s="135">
        <v>334601500</v>
      </c>
      <c r="T68" s="594">
        <f>IF(Q68=0,0,R68/Q68)</f>
        <v>0.90850431222322958</v>
      </c>
      <c r="U68" s="594">
        <f>IF(R68=0,0,S68/R68)</f>
        <v>0.41369937197353868</v>
      </c>
      <c r="V68" s="1624">
        <v>45314</v>
      </c>
      <c r="W68" s="1624">
        <v>45596</v>
      </c>
      <c r="X68" s="71" t="s">
        <v>5303</v>
      </c>
      <c r="Y68" s="3112" t="s">
        <v>2429</v>
      </c>
    </row>
    <row r="69" spans="1:25" ht="89.25">
      <c r="A69" s="3111"/>
      <c r="B69" s="3111"/>
      <c r="C69" s="3111"/>
      <c r="D69" s="3113"/>
      <c r="E69" s="88" t="s">
        <v>2445</v>
      </c>
      <c r="F69" s="88"/>
      <c r="G69" s="88"/>
      <c r="H69" s="70"/>
      <c r="I69" s="71" t="s">
        <v>2446</v>
      </c>
      <c r="J69" s="71" t="s">
        <v>2447</v>
      </c>
      <c r="K69" s="88">
        <v>1</v>
      </c>
      <c r="L69" s="594">
        <v>0.37</v>
      </c>
      <c r="M69" s="88">
        <v>0</v>
      </c>
      <c r="N69" s="594">
        <v>0.185</v>
      </c>
      <c r="O69" s="3134"/>
      <c r="P69" s="1622">
        <v>478000404</v>
      </c>
      <c r="Q69" s="1622">
        <v>269337862</v>
      </c>
      <c r="R69" s="135">
        <v>268575000</v>
      </c>
      <c r="S69" s="135">
        <v>123005000</v>
      </c>
      <c r="T69" s="594">
        <f>IF(Q69=0,0,R69/Q69)</f>
        <v>0.99716763920848228</v>
      </c>
      <c r="U69" s="594">
        <f t="shared" ref="U69" si="23">IF(R69=0,0,S69/R69)</f>
        <v>0.45799125011635483</v>
      </c>
      <c r="V69" s="1624">
        <v>45340</v>
      </c>
      <c r="W69" s="1624">
        <v>45596</v>
      </c>
      <c r="X69" s="71" t="s">
        <v>5304</v>
      </c>
      <c r="Y69" s="3113"/>
    </row>
    <row r="70" spans="1:25">
      <c r="A70" s="595"/>
      <c r="B70" s="596"/>
      <c r="C70" s="595"/>
      <c r="D70" s="597"/>
      <c r="E70" s="597"/>
      <c r="F70" s="597"/>
      <c r="G70" s="597"/>
      <c r="H70" s="598"/>
      <c r="I70" s="597"/>
      <c r="J70" s="598"/>
      <c r="K70" s="599"/>
      <c r="L70" s="1630"/>
      <c r="M70" s="597"/>
      <c r="N70" s="600"/>
      <c r="O70" s="597"/>
      <c r="P70" s="597"/>
      <c r="Q70" s="597"/>
      <c r="R70" s="597"/>
      <c r="S70" s="597"/>
      <c r="T70" s="597"/>
      <c r="U70" s="597"/>
      <c r="V70" s="597"/>
      <c r="W70" s="597"/>
      <c r="X70" s="601"/>
      <c r="Y70" s="601"/>
    </row>
    <row r="71" spans="1:25">
      <c r="A71" s="595"/>
      <c r="B71" s="595" t="s">
        <v>36</v>
      </c>
      <c r="C71" s="595">
        <f>COUNTIF(C7:C69,"Pr")</f>
        <v>13</v>
      </c>
      <c r="D71" s="597"/>
      <c r="E71" s="597" t="s">
        <v>112</v>
      </c>
      <c r="F71" s="597"/>
      <c r="G71" s="2229">
        <f>COUNTIF(O11:O69,"na")-C72</f>
        <v>0</v>
      </c>
      <c r="H71" s="598"/>
      <c r="I71" s="597"/>
      <c r="J71" s="598"/>
      <c r="K71" s="599"/>
      <c r="L71" s="599"/>
      <c r="M71" s="597"/>
      <c r="N71" s="602" t="s">
        <v>113</v>
      </c>
      <c r="O71" s="1631">
        <f>+AVERAGE(O7:O69)</f>
        <v>0.39633472257843044</v>
      </c>
      <c r="P71" s="603">
        <f>SUM(P11,P16,P20,P24,P29,P33,P40,P44,P48,P53,P59,P62,P67)</f>
        <v>34200000000</v>
      </c>
      <c r="Q71" s="603">
        <f t="shared" ref="Q71:R71" si="24">SUM(Q11,Q16,Q20,Q24,Q29,Q33,Q40,Q44,Q48,Q53,Q59,Q62,Q67)</f>
        <v>49005687755</v>
      </c>
      <c r="R71" s="603">
        <f t="shared" si="24"/>
        <v>26759607145</v>
      </c>
      <c r="S71" s="603">
        <f>SUM(S11,S16,S20,S24,S29,S33,S40,S44,S48,S53,S59,S62,S67)</f>
        <v>8246751103</v>
      </c>
      <c r="T71" s="858">
        <f>IF(Q71=0,0,R71/Q71)</f>
        <v>0.54605104776373115</v>
      </c>
      <c r="U71" s="858">
        <f>IF(R71=0,0,S71/R71)</f>
        <v>0.30817907969702368</v>
      </c>
      <c r="V71" s="597"/>
      <c r="W71" s="597"/>
      <c r="X71" s="601"/>
      <c r="Y71" s="601"/>
    </row>
    <row r="72" spans="1:25">
      <c r="A72" s="595"/>
      <c r="B72" s="596"/>
      <c r="C72" s="350"/>
      <c r="D72" s="597"/>
      <c r="E72" s="597"/>
      <c r="F72" s="597"/>
      <c r="G72" s="597"/>
      <c r="H72" s="598"/>
      <c r="I72" s="597"/>
      <c r="J72" s="598"/>
      <c r="K72" s="599"/>
      <c r="L72" s="599"/>
      <c r="M72" s="597"/>
      <c r="N72" s="602" t="s">
        <v>119</v>
      </c>
      <c r="O72" s="52">
        <f>COUNTIF(O11:O69,"=0%")</f>
        <v>0</v>
      </c>
      <c r="P72" s="1632">
        <v>34200000000</v>
      </c>
      <c r="Q72" s="1632">
        <v>49005687755</v>
      </c>
      <c r="R72" s="1632">
        <v>26759607145</v>
      </c>
      <c r="S72" s="1632">
        <v>8246751103</v>
      </c>
      <c r="T72" s="597"/>
      <c r="U72" s="597"/>
      <c r="V72" s="597"/>
      <c r="W72" s="597"/>
      <c r="X72" s="601"/>
      <c r="Y72" s="601"/>
    </row>
  </sheetData>
  <autoFilter ref="A5:Y68" xr:uid="{00000000-0009-0000-0000-00000F000000}"/>
  <mergeCells count="106">
    <mergeCell ref="O62:O64"/>
    <mergeCell ref="Y63:Y64"/>
    <mergeCell ref="A67:A69"/>
    <mergeCell ref="B67:B69"/>
    <mergeCell ref="C67:C69"/>
    <mergeCell ref="D67:D69"/>
    <mergeCell ref="O68:O69"/>
    <mergeCell ref="Y68:Y69"/>
    <mergeCell ref="B5:B6"/>
    <mergeCell ref="A5:A6"/>
    <mergeCell ref="C5:C6"/>
    <mergeCell ref="I5:I6"/>
    <mergeCell ref="G5:G6"/>
    <mergeCell ref="H5:H6"/>
    <mergeCell ref="Y12:Y14"/>
    <mergeCell ref="N5:N6"/>
    <mergeCell ref="U5:U6"/>
    <mergeCell ref="A16:A18"/>
    <mergeCell ref="B16:B18"/>
    <mergeCell ref="C16:C18"/>
    <mergeCell ref="D16:D18"/>
    <mergeCell ref="O16:O18"/>
    <mergeCell ref="Y17:Y18"/>
    <mergeCell ref="A11:A14"/>
    <mergeCell ref="V3:W3"/>
    <mergeCell ref="J5:J6"/>
    <mergeCell ref="D5:D6"/>
    <mergeCell ref="E5:E6"/>
    <mergeCell ref="A1:X1"/>
    <mergeCell ref="R5:R6"/>
    <mergeCell ref="O5:O6"/>
    <mergeCell ref="M5:M6"/>
    <mergeCell ref="X5:X6"/>
    <mergeCell ref="K5:K6"/>
    <mergeCell ref="A4:Y4"/>
    <mergeCell ref="A2:Y2"/>
    <mergeCell ref="A3:B3"/>
    <mergeCell ref="C3:R3"/>
    <mergeCell ref="W5:W6"/>
    <mergeCell ref="Q5:Q6"/>
    <mergeCell ref="T5:T6"/>
    <mergeCell ref="V5:V6"/>
    <mergeCell ref="S3:U3"/>
    <mergeCell ref="F5:F6"/>
    <mergeCell ref="Y5:Y6"/>
    <mergeCell ref="L5:L6"/>
    <mergeCell ref="P5:P6"/>
    <mergeCell ref="S5:S6"/>
    <mergeCell ref="B11:B14"/>
    <mergeCell ref="C11:C14"/>
    <mergeCell ref="D11:D14"/>
    <mergeCell ref="O11:O14"/>
    <mergeCell ref="Y21:Y22"/>
    <mergeCell ref="A24:A26"/>
    <mergeCell ref="B24:B26"/>
    <mergeCell ref="C24:C26"/>
    <mergeCell ref="D24:D26"/>
    <mergeCell ref="O24:O26"/>
    <mergeCell ref="Y25:Y26"/>
    <mergeCell ref="A20:A22"/>
    <mergeCell ref="B20:B22"/>
    <mergeCell ref="C20:C22"/>
    <mergeCell ref="D20:D22"/>
    <mergeCell ref="O20:O22"/>
    <mergeCell ref="Y30:Y32"/>
    <mergeCell ref="A33:A35"/>
    <mergeCell ref="B33:B35"/>
    <mergeCell ref="C33:C35"/>
    <mergeCell ref="D33:D35"/>
    <mergeCell ref="O33:O35"/>
    <mergeCell ref="Y34:Y35"/>
    <mergeCell ref="A29:A32"/>
    <mergeCell ref="B29:B32"/>
    <mergeCell ref="C29:C32"/>
    <mergeCell ref="D29:D32"/>
    <mergeCell ref="O29:O32"/>
    <mergeCell ref="O48:O51"/>
    <mergeCell ref="Y49:Y51"/>
    <mergeCell ref="A53:A54"/>
    <mergeCell ref="B53:B54"/>
    <mergeCell ref="C53:C54"/>
    <mergeCell ref="D53:D54"/>
    <mergeCell ref="Y41:Y42"/>
    <mergeCell ref="A44:A46"/>
    <mergeCell ref="B44:B46"/>
    <mergeCell ref="C44:C46"/>
    <mergeCell ref="D44:D46"/>
    <mergeCell ref="O44:O46"/>
    <mergeCell ref="Y45:Y46"/>
    <mergeCell ref="A40:A42"/>
    <mergeCell ref="B40:B42"/>
    <mergeCell ref="C40:C42"/>
    <mergeCell ref="D40:D42"/>
    <mergeCell ref="O40:O42"/>
    <mergeCell ref="A59:A60"/>
    <mergeCell ref="B59:B60"/>
    <mergeCell ref="C59:C60"/>
    <mergeCell ref="D59:D60"/>
    <mergeCell ref="A62:A64"/>
    <mergeCell ref="B62:B64"/>
    <mergeCell ref="C62:C64"/>
    <mergeCell ref="D62:D64"/>
    <mergeCell ref="A48:A51"/>
    <mergeCell ref="B48:B51"/>
    <mergeCell ref="C48:C51"/>
    <mergeCell ref="D48:D51"/>
  </mergeCells>
  <pageMargins left="0.511811023622047" right="0.511811023622047" top="0.78740157480314998" bottom="1.1811023622047201" header="0.78740157480314998" footer="0.78740157480314998"/>
  <pageSetup paperSize="529" scale="43" firstPageNumber="4" orientation="landscape" useFirstPageNumber="1"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303"/>
  <sheetViews>
    <sheetView showWhiteSpace="0" topLeftCell="A296" zoomScale="70" zoomScaleNormal="70" zoomScaleSheetLayoutView="100" workbookViewId="0">
      <selection activeCell="O299" sqref="O299"/>
    </sheetView>
  </sheetViews>
  <sheetFormatPr baseColWidth="10" defaultColWidth="11.42578125" defaultRowHeight="16.5"/>
  <cols>
    <col min="1" max="1" width="11.28515625" style="2" customWidth="1"/>
    <col min="2" max="2" width="14.140625" style="3" customWidth="1"/>
    <col min="3" max="3" width="5.85546875" style="2" customWidth="1"/>
    <col min="4" max="4" width="23.42578125" style="3" customWidth="1"/>
    <col min="5" max="5" width="16.7109375" style="3" customWidth="1"/>
    <col min="6" max="6" width="12.42578125" style="3" customWidth="1"/>
    <col min="7" max="7" width="17.85546875" style="3" customWidth="1"/>
    <col min="8" max="8" width="12.42578125" style="3" customWidth="1"/>
    <col min="9" max="9" width="20" style="3" customWidth="1"/>
    <col min="10" max="10" width="17.5703125" style="2" customWidth="1"/>
    <col min="11" max="11" width="13.140625" style="16" customWidth="1"/>
    <col min="12" max="12" width="15" style="16" customWidth="1"/>
    <col min="13" max="13" width="12.7109375" style="16" customWidth="1"/>
    <col min="14" max="14" width="11.5703125" style="3" customWidth="1"/>
    <col min="15" max="15" width="13.140625" style="2" customWidth="1"/>
    <col min="16" max="16" width="14.28515625" style="3" customWidth="1"/>
    <col min="17" max="17" width="15.85546875" style="3" customWidth="1"/>
    <col min="18" max="18" width="15.140625" style="3" customWidth="1"/>
    <col min="19" max="19" width="13.85546875" style="3" customWidth="1"/>
    <col min="20" max="20" width="12.7109375" style="3" customWidth="1"/>
    <col min="21" max="22" width="10.7109375" style="3" customWidth="1"/>
    <col min="23" max="23" width="12.5703125" style="3" customWidth="1"/>
    <col min="24" max="24" width="38.7109375" style="3" customWidth="1"/>
    <col min="25" max="25" width="14.140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954" t="s">
        <v>80</v>
      </c>
      <c r="D3" s="2954"/>
      <c r="E3" s="2954"/>
      <c r="F3" s="2954"/>
      <c r="G3" s="2954"/>
      <c r="H3" s="2954"/>
      <c r="I3" s="2954"/>
      <c r="J3" s="2954"/>
      <c r="K3" s="2954"/>
      <c r="L3" s="2954"/>
      <c r="M3" s="2954"/>
      <c r="N3" s="2954"/>
      <c r="O3" s="2954"/>
      <c r="P3" s="2954"/>
      <c r="Q3" s="2954"/>
      <c r="R3" s="2954"/>
      <c r="S3" s="2834" t="s">
        <v>17</v>
      </c>
      <c r="T3" s="2834"/>
      <c r="U3" s="2834"/>
      <c r="V3" s="2835">
        <v>45473</v>
      </c>
      <c r="W3" s="2834"/>
      <c r="X3" s="40" t="s">
        <v>5</v>
      </c>
      <c r="Y3" s="41">
        <v>2024</v>
      </c>
    </row>
    <row r="4" spans="1:25" s="27" customFormat="1" ht="25.5" customHeight="1">
      <c r="A4" s="3129"/>
      <c r="B4" s="3129"/>
      <c r="C4" s="3129"/>
      <c r="D4" s="3129"/>
      <c r="E4" s="3129"/>
      <c r="F4" s="3129"/>
      <c r="G4" s="3129"/>
      <c r="H4" s="3129"/>
      <c r="I4" s="3129"/>
      <c r="J4" s="3129"/>
      <c r="K4" s="3129"/>
      <c r="L4" s="3129"/>
      <c r="M4" s="3129"/>
      <c r="N4" s="3129"/>
      <c r="O4" s="3129"/>
      <c r="P4" s="3129"/>
      <c r="Q4" s="3129"/>
      <c r="R4" s="3129"/>
      <c r="S4" s="3129"/>
      <c r="T4" s="3129"/>
      <c r="U4" s="3129"/>
      <c r="V4" s="3129"/>
      <c r="W4" s="3129"/>
      <c r="X4" s="3129"/>
      <c r="Y4" s="3129"/>
    </row>
    <row r="5" spans="1:25" s="27" customFormat="1" ht="39.950000000000003" customHeight="1">
      <c r="A5" s="2836" t="s">
        <v>74</v>
      </c>
      <c r="B5" s="2836" t="s">
        <v>4</v>
      </c>
      <c r="C5" s="2836" t="s">
        <v>3</v>
      </c>
      <c r="D5" s="2836" t="s">
        <v>259</v>
      </c>
      <c r="E5" s="3006" t="s">
        <v>2</v>
      </c>
      <c r="F5" s="3145" t="s">
        <v>260</v>
      </c>
      <c r="G5" s="3151" t="s">
        <v>92</v>
      </c>
      <c r="H5" s="3145" t="s">
        <v>93</v>
      </c>
      <c r="I5" s="3151" t="s">
        <v>8</v>
      </c>
      <c r="J5" s="3151" t="s">
        <v>9</v>
      </c>
      <c r="K5" s="3145" t="s">
        <v>10</v>
      </c>
      <c r="L5" s="3152" t="s">
        <v>11</v>
      </c>
      <c r="M5" s="3154" t="s">
        <v>86</v>
      </c>
      <c r="N5" s="3135" t="s">
        <v>12</v>
      </c>
      <c r="O5" s="3136" t="s">
        <v>72</v>
      </c>
      <c r="P5" s="3138" t="s">
        <v>1</v>
      </c>
      <c r="Q5" s="3140" t="s">
        <v>13</v>
      </c>
      <c r="R5" s="3140" t="s">
        <v>14</v>
      </c>
      <c r="S5" s="3140" t="s">
        <v>16</v>
      </c>
      <c r="T5" s="3142" t="s">
        <v>15</v>
      </c>
      <c r="U5" s="3142" t="s">
        <v>89</v>
      </c>
      <c r="V5" s="3127" t="s">
        <v>261</v>
      </c>
      <c r="W5" s="3127" t="s">
        <v>7</v>
      </c>
      <c r="X5" s="3148" t="s">
        <v>262</v>
      </c>
      <c r="Y5" s="3150" t="s">
        <v>76</v>
      </c>
    </row>
    <row r="6" spans="1:25" s="27" customFormat="1" ht="39.950000000000003" customHeight="1">
      <c r="A6" s="2836"/>
      <c r="B6" s="2836"/>
      <c r="C6" s="2836"/>
      <c r="D6" s="2836"/>
      <c r="E6" s="2941"/>
      <c r="F6" s="3145"/>
      <c r="G6" s="3151"/>
      <c r="H6" s="3145"/>
      <c r="I6" s="3151"/>
      <c r="J6" s="3151"/>
      <c r="K6" s="3145"/>
      <c r="L6" s="3153"/>
      <c r="M6" s="3155"/>
      <c r="N6" s="2943"/>
      <c r="O6" s="3137"/>
      <c r="P6" s="3139"/>
      <c r="Q6" s="3141"/>
      <c r="R6" s="3141"/>
      <c r="S6" s="3141"/>
      <c r="T6" s="3143"/>
      <c r="U6" s="3143"/>
      <c r="V6" s="3144"/>
      <c r="W6" s="3144"/>
      <c r="X6" s="3149"/>
      <c r="Y6" s="3150"/>
    </row>
    <row r="7" spans="1:25">
      <c r="A7" s="211"/>
      <c r="B7" s="2230">
        <v>51</v>
      </c>
      <c r="C7" s="2230" t="s">
        <v>100</v>
      </c>
      <c r="D7" s="2231" t="s">
        <v>1171</v>
      </c>
      <c r="E7" s="2232"/>
      <c r="F7" s="2233"/>
      <c r="G7" s="2234"/>
      <c r="H7" s="2235"/>
      <c r="I7" s="2234"/>
      <c r="J7" s="2233"/>
      <c r="K7" s="2236"/>
      <c r="L7" s="2236"/>
      <c r="M7" s="2237"/>
      <c r="N7" s="2236"/>
      <c r="O7" s="2236"/>
      <c r="P7" s="2238"/>
      <c r="Q7" s="2238"/>
      <c r="R7" s="2238"/>
      <c r="S7" s="2238"/>
      <c r="T7" s="2239"/>
      <c r="U7" s="2239"/>
      <c r="V7" s="2232"/>
      <c r="W7" s="2232"/>
      <c r="X7" s="2240"/>
      <c r="Y7" s="2233"/>
    </row>
    <row r="8" spans="1:25" ht="49.5">
      <c r="A8" s="240"/>
      <c r="B8" s="252">
        <v>5102</v>
      </c>
      <c r="C8" s="252" t="s">
        <v>101</v>
      </c>
      <c r="D8" s="434" t="s">
        <v>2448</v>
      </c>
      <c r="E8" s="2241"/>
      <c r="F8" s="2242"/>
      <c r="G8" s="2243"/>
      <c r="H8" s="2244"/>
      <c r="I8" s="2243"/>
      <c r="J8" s="2242"/>
      <c r="K8" s="2245"/>
      <c r="L8" s="2245"/>
      <c r="M8" s="2246"/>
      <c r="N8" s="2245"/>
      <c r="O8" s="2245"/>
      <c r="P8" s="2247"/>
      <c r="Q8" s="2247"/>
      <c r="R8" s="2247"/>
      <c r="S8" s="2247"/>
      <c r="T8" s="2248"/>
      <c r="U8" s="2248"/>
      <c r="V8" s="2241"/>
      <c r="W8" s="2241"/>
      <c r="X8" s="2249"/>
      <c r="Y8" s="2242"/>
    </row>
    <row r="9" spans="1:25">
      <c r="A9" s="240"/>
      <c r="B9" s="252">
        <v>5102001</v>
      </c>
      <c r="C9" s="252" t="s">
        <v>102</v>
      </c>
      <c r="D9" s="434" t="s">
        <v>2449</v>
      </c>
      <c r="E9" s="2241"/>
      <c r="F9" s="2242"/>
      <c r="G9" s="2243"/>
      <c r="H9" s="2244"/>
      <c r="I9" s="2243"/>
      <c r="J9" s="2242"/>
      <c r="K9" s="2245"/>
      <c r="L9" s="2245"/>
      <c r="M9" s="2246"/>
      <c r="N9" s="2245"/>
      <c r="O9" s="2245"/>
      <c r="P9" s="2247"/>
      <c r="Q9" s="2247"/>
      <c r="R9" s="2247"/>
      <c r="S9" s="2247"/>
      <c r="T9" s="2248"/>
      <c r="U9" s="2248"/>
      <c r="V9" s="2241"/>
      <c r="W9" s="2241"/>
      <c r="X9" s="2249"/>
      <c r="Y9" s="2242"/>
    </row>
    <row r="10" spans="1:25" ht="51">
      <c r="A10" s="211"/>
      <c r="B10" s="878">
        <v>51020010001</v>
      </c>
      <c r="C10" s="878" t="s">
        <v>103</v>
      </c>
      <c r="D10" s="235" t="s">
        <v>2450</v>
      </c>
      <c r="E10" s="2241"/>
      <c r="F10" s="240">
        <v>0</v>
      </c>
      <c r="G10" s="235"/>
      <c r="H10" s="240">
        <f>H13</f>
        <v>0</v>
      </c>
      <c r="I10" s="2243"/>
      <c r="J10" s="2242"/>
      <c r="K10" s="405">
        <f>K13</f>
        <v>1</v>
      </c>
      <c r="L10" s="2245"/>
      <c r="M10" s="2246"/>
      <c r="N10" s="2245"/>
      <c r="O10" s="2245"/>
      <c r="P10" s="2247"/>
      <c r="Q10" s="2247"/>
      <c r="R10" s="2247"/>
      <c r="S10" s="2247"/>
      <c r="T10" s="2248"/>
      <c r="U10" s="2248"/>
      <c r="V10" s="2241"/>
      <c r="W10" s="2241"/>
      <c r="X10" s="2249"/>
      <c r="Y10" s="2242"/>
    </row>
    <row r="11" spans="1:25">
      <c r="A11" s="2846">
        <v>4148</v>
      </c>
      <c r="B11" s="2827"/>
      <c r="C11" s="2827" t="s">
        <v>109</v>
      </c>
      <c r="D11" s="3027" t="s">
        <v>5305</v>
      </c>
      <c r="E11" s="863" t="s">
        <v>5306</v>
      </c>
      <c r="F11" s="326"/>
      <c r="G11" s="265"/>
      <c r="H11" s="326"/>
      <c r="I11" s="2250"/>
      <c r="J11" s="881"/>
      <c r="K11" s="2251">
        <f t="shared" ref="K11:L11" si="0">K12</f>
        <v>1</v>
      </c>
      <c r="L11" s="429">
        <f t="shared" si="0"/>
        <v>1</v>
      </c>
      <c r="M11" s="2252"/>
      <c r="N11" s="429">
        <f>N12</f>
        <v>0</v>
      </c>
      <c r="O11" s="3156">
        <f>IF(Q11&gt;0,N11,"na")</f>
        <v>0</v>
      </c>
      <c r="P11" s="422">
        <f t="shared" ref="P11:S11" si="1">P12</f>
        <v>0</v>
      </c>
      <c r="Q11" s="422">
        <f t="shared" si="1"/>
        <v>11159105506</v>
      </c>
      <c r="R11" s="422">
        <f t="shared" si="1"/>
        <v>10632996986</v>
      </c>
      <c r="S11" s="422">
        <f t="shared" si="1"/>
        <v>0</v>
      </c>
      <c r="T11" s="2253">
        <f t="shared" ref="T11:U16" si="2">IF(Q11=0,0,R11/Q11)</f>
        <v>0.95285388065225096</v>
      </c>
      <c r="U11" s="2253">
        <f t="shared" si="2"/>
        <v>0</v>
      </c>
      <c r="V11" s="213"/>
      <c r="W11" s="2254"/>
      <c r="X11" s="213"/>
      <c r="Y11" s="2255"/>
    </row>
    <row r="12" spans="1:25" ht="27">
      <c r="A12" s="2876"/>
      <c r="B12" s="2876"/>
      <c r="C12" s="2876"/>
      <c r="D12" s="2876"/>
      <c r="E12" s="213" t="s">
        <v>5307</v>
      </c>
      <c r="F12" s="326"/>
      <c r="G12" s="265"/>
      <c r="H12" s="326">
        <v>0</v>
      </c>
      <c r="I12" s="265" t="s">
        <v>5308</v>
      </c>
      <c r="J12" s="265" t="s">
        <v>5309</v>
      </c>
      <c r="K12" s="423">
        <v>1</v>
      </c>
      <c r="L12" s="429">
        <v>1</v>
      </c>
      <c r="M12" s="2256">
        <v>0</v>
      </c>
      <c r="N12" s="429">
        <v>0</v>
      </c>
      <c r="O12" s="2876"/>
      <c r="P12" s="422">
        <v>0</v>
      </c>
      <c r="Q12" s="422">
        <v>11159105506</v>
      </c>
      <c r="R12" s="422">
        <v>10632996986</v>
      </c>
      <c r="S12" s="422">
        <v>0</v>
      </c>
      <c r="T12" s="2253">
        <f t="shared" si="2"/>
        <v>0.95285388065225096</v>
      </c>
      <c r="U12" s="2253">
        <f t="shared" si="2"/>
        <v>0</v>
      </c>
      <c r="V12" s="2257">
        <v>45473</v>
      </c>
      <c r="W12" s="2258">
        <v>45657</v>
      </c>
      <c r="X12" s="213" t="s">
        <v>5310</v>
      </c>
      <c r="Y12" s="2255"/>
    </row>
    <row r="13" spans="1:25">
      <c r="A13" s="2823">
        <v>4148</v>
      </c>
      <c r="B13" s="2823"/>
      <c r="C13" s="2823" t="s">
        <v>109</v>
      </c>
      <c r="D13" s="3027" t="s">
        <v>2451</v>
      </c>
      <c r="E13" s="863" t="s">
        <v>2452</v>
      </c>
      <c r="F13" s="2241"/>
      <c r="G13" s="2241"/>
      <c r="H13" s="327">
        <f>H16</f>
        <v>0</v>
      </c>
      <c r="I13" s="2243"/>
      <c r="J13" s="2243"/>
      <c r="K13" s="236">
        <f>K16</f>
        <v>1</v>
      </c>
      <c r="L13" s="428">
        <f>SUM(L14:L16)</f>
        <v>1</v>
      </c>
      <c r="M13" s="2259"/>
      <c r="N13" s="428">
        <f>SUM(N14:N16)</f>
        <v>2.3E-2</v>
      </c>
      <c r="O13" s="3156">
        <f>IF(Q13&gt;0,N13,"na")</f>
        <v>2.3E-2</v>
      </c>
      <c r="P13" s="422">
        <f t="shared" ref="P13:S13" si="3">SUM(P14:P16)</f>
        <v>8500000000</v>
      </c>
      <c r="Q13" s="422">
        <f t="shared" si="3"/>
        <v>5944665803</v>
      </c>
      <c r="R13" s="422">
        <f t="shared" si="3"/>
        <v>231107000</v>
      </c>
      <c r="S13" s="422">
        <f t="shared" si="3"/>
        <v>129459000</v>
      </c>
      <c r="T13" s="2253">
        <f t="shared" si="2"/>
        <v>3.8876365410376965E-2</v>
      </c>
      <c r="U13" s="2253">
        <f t="shared" si="2"/>
        <v>0.56016909916186008</v>
      </c>
      <c r="V13" s="453"/>
      <c r="W13" s="889"/>
      <c r="X13" s="2260"/>
      <c r="Y13" s="2841" t="s">
        <v>2453</v>
      </c>
    </row>
    <row r="14" spans="1:25" ht="81">
      <c r="A14" s="2875"/>
      <c r="B14" s="2875"/>
      <c r="C14" s="2875"/>
      <c r="D14" s="2875"/>
      <c r="E14" s="863" t="s">
        <v>2454</v>
      </c>
      <c r="F14" s="2241"/>
      <c r="G14" s="2241"/>
      <c r="H14" s="2261"/>
      <c r="I14" s="265" t="s">
        <v>2455</v>
      </c>
      <c r="J14" s="265" t="s">
        <v>110</v>
      </c>
      <c r="K14" s="419">
        <v>1</v>
      </c>
      <c r="L14" s="428">
        <v>0.12</v>
      </c>
      <c r="M14" s="2259">
        <v>0</v>
      </c>
      <c r="N14" s="428">
        <v>2.3E-2</v>
      </c>
      <c r="O14" s="2875"/>
      <c r="P14" s="983">
        <v>981463000</v>
      </c>
      <c r="Q14" s="983">
        <v>981463000</v>
      </c>
      <c r="R14" s="983">
        <v>231107000</v>
      </c>
      <c r="S14" s="983">
        <v>129459000</v>
      </c>
      <c r="T14" s="2253">
        <f t="shared" si="2"/>
        <v>0.23547194341508543</v>
      </c>
      <c r="U14" s="2253">
        <f t="shared" si="2"/>
        <v>0.56016909916186008</v>
      </c>
      <c r="V14" s="2257">
        <v>45322</v>
      </c>
      <c r="W14" s="2258">
        <v>45596</v>
      </c>
      <c r="X14" s="2260" t="s">
        <v>2456</v>
      </c>
      <c r="Y14" s="3146"/>
    </row>
    <row r="15" spans="1:25" ht="40.5">
      <c r="A15" s="2875"/>
      <c r="B15" s="2875"/>
      <c r="C15" s="2875"/>
      <c r="D15" s="2875"/>
      <c r="E15" s="863" t="s">
        <v>2457</v>
      </c>
      <c r="F15" s="2242"/>
      <c r="G15" s="2243"/>
      <c r="H15" s="2244"/>
      <c r="I15" s="265" t="s">
        <v>2458</v>
      </c>
      <c r="J15" s="265" t="s">
        <v>2459</v>
      </c>
      <c r="K15" s="423">
        <v>4</v>
      </c>
      <c r="L15" s="429">
        <v>0.06</v>
      </c>
      <c r="M15" s="2256">
        <v>0</v>
      </c>
      <c r="N15" s="429">
        <v>0</v>
      </c>
      <c r="O15" s="2875"/>
      <c r="P15" s="983">
        <v>513537000</v>
      </c>
      <c r="Q15" s="983">
        <v>513537000</v>
      </c>
      <c r="R15" s="2262">
        <v>0</v>
      </c>
      <c r="S15" s="983">
        <v>0</v>
      </c>
      <c r="T15" s="2253">
        <f t="shared" si="2"/>
        <v>0</v>
      </c>
      <c r="U15" s="2253">
        <f t="shared" si="2"/>
        <v>0</v>
      </c>
      <c r="V15" s="2260"/>
      <c r="W15" s="2263"/>
      <c r="X15" s="2264"/>
      <c r="Y15" s="3146"/>
    </row>
    <row r="16" spans="1:25" ht="67.5">
      <c r="A16" s="2876"/>
      <c r="B16" s="2876"/>
      <c r="C16" s="2876"/>
      <c r="D16" s="2876"/>
      <c r="E16" s="863" t="s">
        <v>2460</v>
      </c>
      <c r="F16" s="2242"/>
      <c r="G16" s="265" t="s">
        <v>2450</v>
      </c>
      <c r="H16" s="326">
        <v>0</v>
      </c>
      <c r="I16" s="265" t="s">
        <v>2461</v>
      </c>
      <c r="J16" s="265" t="s">
        <v>2462</v>
      </c>
      <c r="K16" s="423">
        <v>1</v>
      </c>
      <c r="L16" s="429">
        <v>0.82</v>
      </c>
      <c r="M16" s="2256">
        <v>0</v>
      </c>
      <c r="N16" s="429">
        <v>0</v>
      </c>
      <c r="O16" s="2876"/>
      <c r="P16" s="983">
        <v>7005000000</v>
      </c>
      <c r="Q16" s="983">
        <v>4449665803</v>
      </c>
      <c r="R16" s="983">
        <v>0</v>
      </c>
      <c r="S16" s="983">
        <v>0</v>
      </c>
      <c r="T16" s="2253">
        <f t="shared" si="2"/>
        <v>0</v>
      </c>
      <c r="U16" s="2253">
        <f t="shared" si="2"/>
        <v>0</v>
      </c>
      <c r="V16" s="2260"/>
      <c r="W16" s="2263"/>
      <c r="X16" s="213"/>
      <c r="Y16" s="3147"/>
    </row>
    <row r="17" spans="1:25" ht="51">
      <c r="A17" s="2265"/>
      <c r="B17" s="2266">
        <v>51020010005</v>
      </c>
      <c r="C17" s="2266" t="s">
        <v>103</v>
      </c>
      <c r="D17" s="2267" t="s">
        <v>2463</v>
      </c>
      <c r="E17" s="212"/>
      <c r="F17" s="211">
        <v>0</v>
      </c>
      <c r="G17" s="212"/>
      <c r="H17" s="983">
        <f t="shared" ref="H17:H18" si="4">H18</f>
        <v>0</v>
      </c>
      <c r="I17" s="235"/>
      <c r="J17" s="235"/>
      <c r="K17" s="405">
        <f t="shared" ref="K17:K18" si="5">K18</f>
        <v>5</v>
      </c>
      <c r="L17" s="405"/>
      <c r="M17" s="2268"/>
      <c r="N17" s="405"/>
      <c r="O17" s="405"/>
      <c r="P17" s="983"/>
      <c r="Q17" s="983"/>
      <c r="R17" s="983"/>
      <c r="S17" s="983"/>
      <c r="T17" s="237"/>
      <c r="U17" s="237"/>
      <c r="V17" s="234"/>
      <c r="W17" s="2269"/>
      <c r="X17" s="2260"/>
      <c r="Y17" s="2270"/>
    </row>
    <row r="18" spans="1:25">
      <c r="A18" s="2846">
        <v>4148</v>
      </c>
      <c r="B18" s="2823"/>
      <c r="C18" s="2827" t="s">
        <v>109</v>
      </c>
      <c r="D18" s="3027" t="s">
        <v>2464</v>
      </c>
      <c r="E18" s="2271" t="s">
        <v>2465</v>
      </c>
      <c r="F18" s="466"/>
      <c r="G18" s="213"/>
      <c r="H18" s="466">
        <f t="shared" si="4"/>
        <v>0</v>
      </c>
      <c r="I18" s="213"/>
      <c r="J18" s="863"/>
      <c r="K18" s="423">
        <f t="shared" si="5"/>
        <v>5</v>
      </c>
      <c r="L18" s="423"/>
      <c r="M18" s="2256"/>
      <c r="N18" s="429">
        <f>N19</f>
        <v>0.1</v>
      </c>
      <c r="O18" s="3156">
        <f>IF(Q18&gt;0,N18,"na")</f>
        <v>0.1</v>
      </c>
      <c r="P18" s="422">
        <f t="shared" ref="P18:S18" si="6">P19</f>
        <v>5338208204</v>
      </c>
      <c r="Q18" s="422">
        <f t="shared" si="6"/>
        <v>7799021659</v>
      </c>
      <c r="R18" s="422">
        <f t="shared" si="6"/>
        <v>527955982</v>
      </c>
      <c r="S18" s="422">
        <f t="shared" si="6"/>
        <v>60901000</v>
      </c>
      <c r="T18" s="2253">
        <f t="shared" ref="T18:U19" si="7">IF(Q18=0,0,R18/Q18)</f>
        <v>6.7695155249472047E-2</v>
      </c>
      <c r="U18" s="2253">
        <f t="shared" si="7"/>
        <v>0.11535241966441058</v>
      </c>
      <c r="V18" s="453"/>
      <c r="W18" s="889"/>
      <c r="X18" s="2260"/>
      <c r="Y18" s="2841" t="s">
        <v>2453</v>
      </c>
    </row>
    <row r="19" spans="1:25" ht="189">
      <c r="A19" s="2876"/>
      <c r="B19" s="2876"/>
      <c r="C19" s="2876"/>
      <c r="D19" s="2876"/>
      <c r="E19" s="2271" t="s">
        <v>2466</v>
      </c>
      <c r="F19" s="466"/>
      <c r="G19" s="213" t="s">
        <v>2463</v>
      </c>
      <c r="H19" s="466">
        <v>0</v>
      </c>
      <c r="I19" s="213" t="s">
        <v>2467</v>
      </c>
      <c r="J19" s="863" t="s">
        <v>2468</v>
      </c>
      <c r="K19" s="423">
        <v>5</v>
      </c>
      <c r="L19" s="984">
        <v>1</v>
      </c>
      <c r="M19" s="413">
        <v>0</v>
      </c>
      <c r="N19" s="984">
        <v>0.1</v>
      </c>
      <c r="O19" s="2876"/>
      <c r="P19" s="422">
        <v>5338208204</v>
      </c>
      <c r="Q19" s="422">
        <v>7799021659</v>
      </c>
      <c r="R19" s="422">
        <v>527955982</v>
      </c>
      <c r="S19" s="422">
        <v>60901000</v>
      </c>
      <c r="T19" s="2253">
        <f t="shared" si="7"/>
        <v>6.7695155249472047E-2</v>
      </c>
      <c r="U19" s="2253">
        <f t="shared" si="7"/>
        <v>0.11535241966441058</v>
      </c>
      <c r="V19" s="2257">
        <v>45321</v>
      </c>
      <c r="W19" s="2258">
        <v>45639</v>
      </c>
      <c r="X19" s="213" t="s">
        <v>5311</v>
      </c>
      <c r="Y19" s="3147"/>
    </row>
    <row r="20" spans="1:25" ht="33">
      <c r="A20" s="326"/>
      <c r="B20" s="252">
        <v>5103</v>
      </c>
      <c r="C20" s="252" t="s">
        <v>101</v>
      </c>
      <c r="D20" s="434" t="s">
        <v>2469</v>
      </c>
      <c r="E20" s="2271"/>
      <c r="F20" s="466"/>
      <c r="G20" s="213"/>
      <c r="H20" s="466"/>
      <c r="I20" s="213"/>
      <c r="J20" s="863"/>
      <c r="K20" s="463"/>
      <c r="L20" s="429"/>
      <c r="M20" s="2256"/>
      <c r="N20" s="429"/>
      <c r="O20" s="429"/>
      <c r="P20" s="466"/>
      <c r="Q20" s="466"/>
      <c r="R20" s="466"/>
      <c r="S20" s="466"/>
      <c r="T20" s="2272"/>
      <c r="U20" s="2272"/>
      <c r="V20" s="453"/>
      <c r="W20" s="889"/>
      <c r="X20" s="2260"/>
      <c r="Y20" s="885"/>
    </row>
    <row r="21" spans="1:25" ht="33">
      <c r="A21" s="326"/>
      <c r="B21" s="252">
        <v>5103001</v>
      </c>
      <c r="C21" s="252" t="s">
        <v>102</v>
      </c>
      <c r="D21" s="434" t="s">
        <v>2470</v>
      </c>
      <c r="E21" s="2260"/>
      <c r="F21" s="466"/>
      <c r="G21" s="213"/>
      <c r="H21" s="466"/>
      <c r="I21" s="213"/>
      <c r="J21" s="863"/>
      <c r="K21" s="463"/>
      <c r="L21" s="429"/>
      <c r="M21" s="2256"/>
      <c r="N21" s="429"/>
      <c r="O21" s="429"/>
      <c r="P21" s="466"/>
      <c r="Q21" s="466"/>
      <c r="R21" s="466"/>
      <c r="S21" s="466"/>
      <c r="T21" s="2272"/>
      <c r="U21" s="2272"/>
      <c r="V21" s="453"/>
      <c r="W21" s="889"/>
      <c r="X21" s="2260"/>
      <c r="Y21" s="885"/>
    </row>
    <row r="22" spans="1:25" ht="25.5">
      <c r="A22" s="326"/>
      <c r="B22" s="238">
        <v>51030010004</v>
      </c>
      <c r="C22" s="240" t="s">
        <v>103</v>
      </c>
      <c r="D22" s="235" t="s">
        <v>2471</v>
      </c>
      <c r="E22" s="2260"/>
      <c r="F22" s="466">
        <v>0</v>
      </c>
      <c r="G22" s="213"/>
      <c r="H22" s="466">
        <f>H23+H25+H27</f>
        <v>0</v>
      </c>
      <c r="I22" s="213"/>
      <c r="J22" s="863"/>
      <c r="K22" s="463">
        <f>K23+K26+K28</f>
        <v>7</v>
      </c>
      <c r="L22" s="429"/>
      <c r="M22" s="2256"/>
      <c r="N22" s="429"/>
      <c r="O22" s="429"/>
      <c r="P22" s="466"/>
      <c r="Q22" s="466"/>
      <c r="R22" s="466"/>
      <c r="S22" s="466"/>
      <c r="T22" s="2272"/>
      <c r="U22" s="2272"/>
      <c r="V22" s="453"/>
      <c r="W22" s="889"/>
      <c r="X22" s="2260"/>
      <c r="Y22" s="885"/>
    </row>
    <row r="23" spans="1:25">
      <c r="A23" s="2823">
        <v>4148</v>
      </c>
      <c r="B23" s="2823"/>
      <c r="C23" s="2823" t="s">
        <v>109</v>
      </c>
      <c r="D23" s="3027" t="s">
        <v>2472</v>
      </c>
      <c r="E23" s="863" t="s">
        <v>2473</v>
      </c>
      <c r="F23" s="466"/>
      <c r="G23" s="213"/>
      <c r="H23" s="466">
        <f>H24</f>
        <v>0</v>
      </c>
      <c r="I23" s="213"/>
      <c r="J23" s="863"/>
      <c r="K23" s="463">
        <f t="shared" ref="K23:L23" si="8">K24</f>
        <v>2</v>
      </c>
      <c r="L23" s="984">
        <f t="shared" si="8"/>
        <v>1</v>
      </c>
      <c r="M23" s="413"/>
      <c r="N23" s="984">
        <f>N24</f>
        <v>0</v>
      </c>
      <c r="O23" s="3156">
        <f>IF(Q23&gt;0,N23,"na")</f>
        <v>0</v>
      </c>
      <c r="P23" s="466">
        <f t="shared" ref="P23:S23" si="9">P24</f>
        <v>562222557</v>
      </c>
      <c r="Q23" s="466">
        <f t="shared" si="9"/>
        <v>562222557</v>
      </c>
      <c r="R23" s="466">
        <f t="shared" si="9"/>
        <v>562222557</v>
      </c>
      <c r="S23" s="466">
        <f t="shared" si="9"/>
        <v>0</v>
      </c>
      <c r="T23" s="2253">
        <f t="shared" ref="T23:U29" si="10">IF(Q23=0,0,R23/Q23)</f>
        <v>1</v>
      </c>
      <c r="U23" s="2253">
        <f t="shared" si="10"/>
        <v>0</v>
      </c>
      <c r="V23" s="453"/>
      <c r="W23" s="889"/>
      <c r="X23" s="2260"/>
      <c r="Y23" s="2841" t="s">
        <v>2474</v>
      </c>
    </row>
    <row r="24" spans="1:25" ht="40.5">
      <c r="A24" s="2876"/>
      <c r="B24" s="2876"/>
      <c r="C24" s="2876"/>
      <c r="D24" s="2876"/>
      <c r="E24" s="863" t="s">
        <v>2475</v>
      </c>
      <c r="F24" s="466"/>
      <c r="G24" s="213" t="s">
        <v>2471</v>
      </c>
      <c r="H24" s="466">
        <v>0</v>
      </c>
      <c r="I24" s="213" t="s">
        <v>2476</v>
      </c>
      <c r="J24" s="863" t="s">
        <v>2477</v>
      </c>
      <c r="K24" s="463">
        <v>2</v>
      </c>
      <c r="L24" s="984">
        <v>1</v>
      </c>
      <c r="M24" s="413">
        <v>0</v>
      </c>
      <c r="N24" s="984">
        <v>0</v>
      </c>
      <c r="O24" s="2876"/>
      <c r="P24" s="466">
        <v>562222557</v>
      </c>
      <c r="Q24" s="466">
        <v>562222557</v>
      </c>
      <c r="R24" s="466">
        <v>562222557</v>
      </c>
      <c r="S24" s="2273">
        <v>0</v>
      </c>
      <c r="T24" s="2253">
        <f t="shared" si="10"/>
        <v>1</v>
      </c>
      <c r="U24" s="2253">
        <f t="shared" si="10"/>
        <v>0</v>
      </c>
      <c r="V24" s="453">
        <v>45471</v>
      </c>
      <c r="W24" s="889">
        <v>45626</v>
      </c>
      <c r="X24" s="213" t="s">
        <v>5312</v>
      </c>
      <c r="Y24" s="3147"/>
    </row>
    <row r="25" spans="1:25">
      <c r="A25" s="2823">
        <v>4148</v>
      </c>
      <c r="B25" s="2823"/>
      <c r="C25" s="2823" t="s">
        <v>109</v>
      </c>
      <c r="D25" s="3027" t="s">
        <v>2478</v>
      </c>
      <c r="E25" s="863" t="s">
        <v>2479</v>
      </c>
      <c r="F25" s="466"/>
      <c r="G25" s="213"/>
      <c r="H25" s="466">
        <f>H26</f>
        <v>0</v>
      </c>
      <c r="I25" s="213"/>
      <c r="J25" s="863"/>
      <c r="K25" s="445">
        <f t="shared" ref="K25:L25" si="11">K26</f>
        <v>1</v>
      </c>
      <c r="L25" s="984">
        <f t="shared" si="11"/>
        <v>1</v>
      </c>
      <c r="M25" s="413"/>
      <c r="N25" s="984">
        <f>N26</f>
        <v>3.4000000000000002E-2</v>
      </c>
      <c r="O25" s="3156">
        <f>IF(Q25&gt;0,N25,"na")</f>
        <v>3.4000000000000002E-2</v>
      </c>
      <c r="P25" s="466">
        <f t="shared" ref="P25:S25" si="12">P26</f>
        <v>730001730</v>
      </c>
      <c r="Q25" s="466">
        <f t="shared" si="12"/>
        <v>14210669942</v>
      </c>
      <c r="R25" s="466">
        <f t="shared" si="12"/>
        <v>13490053353</v>
      </c>
      <c r="S25" s="466">
        <f t="shared" si="12"/>
        <v>78873000</v>
      </c>
      <c r="T25" s="2253">
        <f t="shared" si="10"/>
        <v>0.94929045625989816</v>
      </c>
      <c r="U25" s="2253">
        <f t="shared" si="10"/>
        <v>5.8467522652502889E-3</v>
      </c>
      <c r="V25" s="453"/>
      <c r="W25" s="889"/>
      <c r="X25" s="2260"/>
      <c r="Y25" s="2841" t="s">
        <v>2453</v>
      </c>
    </row>
    <row r="26" spans="1:25" ht="121.5">
      <c r="A26" s="2876"/>
      <c r="B26" s="2876"/>
      <c r="C26" s="2876"/>
      <c r="D26" s="2876"/>
      <c r="E26" s="863" t="s">
        <v>2480</v>
      </c>
      <c r="F26" s="466"/>
      <c r="G26" s="213" t="s">
        <v>2471</v>
      </c>
      <c r="H26" s="466">
        <v>0</v>
      </c>
      <c r="I26" s="213" t="s">
        <v>2481</v>
      </c>
      <c r="J26" s="863" t="s">
        <v>2459</v>
      </c>
      <c r="K26" s="445">
        <v>1</v>
      </c>
      <c r="L26" s="984">
        <v>1</v>
      </c>
      <c r="M26" s="413">
        <v>0</v>
      </c>
      <c r="N26" s="984">
        <v>3.4000000000000002E-2</v>
      </c>
      <c r="O26" s="2876"/>
      <c r="P26" s="466">
        <v>730001730</v>
      </c>
      <c r="Q26" s="466">
        <v>14210669942</v>
      </c>
      <c r="R26" s="466">
        <v>13490053353</v>
      </c>
      <c r="S26" s="466">
        <v>78873000</v>
      </c>
      <c r="T26" s="2253">
        <f t="shared" si="10"/>
        <v>0.94929045625989816</v>
      </c>
      <c r="U26" s="2253">
        <f t="shared" si="10"/>
        <v>5.8467522652502889E-3</v>
      </c>
      <c r="V26" s="453">
        <v>45336</v>
      </c>
      <c r="W26" s="889">
        <v>45595</v>
      </c>
      <c r="X26" s="2260" t="s">
        <v>2482</v>
      </c>
      <c r="Y26" s="3147"/>
    </row>
    <row r="27" spans="1:25">
      <c r="A27" s="2823">
        <v>4148</v>
      </c>
      <c r="B27" s="2823"/>
      <c r="C27" s="2823" t="s">
        <v>109</v>
      </c>
      <c r="D27" s="3027" t="s">
        <v>2483</v>
      </c>
      <c r="E27" s="863" t="s">
        <v>2484</v>
      </c>
      <c r="F27" s="466"/>
      <c r="G27" s="213"/>
      <c r="H27" s="466">
        <f>H29</f>
        <v>0</v>
      </c>
      <c r="I27" s="213"/>
      <c r="J27" s="863"/>
      <c r="K27" s="445">
        <f>K29</f>
        <v>6</v>
      </c>
      <c r="L27" s="984">
        <f>SUM(L28:L29)</f>
        <v>1</v>
      </c>
      <c r="M27" s="413"/>
      <c r="N27" s="984">
        <f>SUM(N28:N29)</f>
        <v>0.36</v>
      </c>
      <c r="O27" s="3156">
        <f>IF(Q27&gt;0,N27,"na")</f>
        <v>0.36</v>
      </c>
      <c r="P27" s="466">
        <f t="shared" ref="P27:S27" si="13">SUM(P28:P29)</f>
        <v>3528809718</v>
      </c>
      <c r="Q27" s="466">
        <f t="shared" si="13"/>
        <v>11650529946</v>
      </c>
      <c r="R27" s="466">
        <f t="shared" si="13"/>
        <v>7189328540</v>
      </c>
      <c r="S27" s="466">
        <f t="shared" si="13"/>
        <v>182066000</v>
      </c>
      <c r="T27" s="2253">
        <f t="shared" si="10"/>
        <v>0.61708167553943127</v>
      </c>
      <c r="U27" s="2253">
        <f t="shared" si="10"/>
        <v>2.53244790507237E-2</v>
      </c>
      <c r="V27" s="453"/>
      <c r="W27" s="889"/>
      <c r="X27" s="2260"/>
      <c r="Y27" s="2841" t="s">
        <v>2453</v>
      </c>
    </row>
    <row r="28" spans="1:25" ht="81">
      <c r="A28" s="2875"/>
      <c r="B28" s="2875"/>
      <c r="C28" s="2875"/>
      <c r="D28" s="2875"/>
      <c r="E28" s="863" t="s">
        <v>2485</v>
      </c>
      <c r="F28" s="466"/>
      <c r="G28" s="213"/>
      <c r="H28" s="466"/>
      <c r="I28" s="213" t="s">
        <v>2486</v>
      </c>
      <c r="J28" s="213" t="s">
        <v>110</v>
      </c>
      <c r="K28" s="445">
        <v>4</v>
      </c>
      <c r="L28" s="984">
        <v>0.35</v>
      </c>
      <c r="M28" s="413">
        <v>0</v>
      </c>
      <c r="N28" s="984">
        <v>0.14000000000000001</v>
      </c>
      <c r="O28" s="2875"/>
      <c r="P28" s="466">
        <v>873800000</v>
      </c>
      <c r="Q28" s="466">
        <v>873800000</v>
      </c>
      <c r="R28" s="466">
        <v>346589000</v>
      </c>
      <c r="S28" s="466">
        <v>182066000</v>
      </c>
      <c r="T28" s="2253">
        <f t="shared" si="10"/>
        <v>0.39664568551155871</v>
      </c>
      <c r="U28" s="2253">
        <f t="shared" si="10"/>
        <v>0.52530807382807876</v>
      </c>
      <c r="V28" s="889">
        <v>45336</v>
      </c>
      <c r="W28" s="889">
        <v>45596</v>
      </c>
      <c r="X28" s="213" t="s">
        <v>5313</v>
      </c>
      <c r="Y28" s="3146"/>
    </row>
    <row r="29" spans="1:25" ht="148.5">
      <c r="A29" s="2876"/>
      <c r="B29" s="2876"/>
      <c r="C29" s="2876"/>
      <c r="D29" s="2876"/>
      <c r="E29" s="863" t="s">
        <v>2487</v>
      </c>
      <c r="F29" s="466"/>
      <c r="G29" s="213" t="s">
        <v>2471</v>
      </c>
      <c r="H29" s="466">
        <v>0</v>
      </c>
      <c r="I29" s="213" t="s">
        <v>5314</v>
      </c>
      <c r="J29" s="863" t="s">
        <v>2459</v>
      </c>
      <c r="K29" s="445">
        <v>6</v>
      </c>
      <c r="L29" s="984">
        <v>0.65</v>
      </c>
      <c r="M29" s="413">
        <v>1</v>
      </c>
      <c r="N29" s="984">
        <v>0.22</v>
      </c>
      <c r="O29" s="2876"/>
      <c r="P29" s="466">
        <v>2655009718</v>
      </c>
      <c r="Q29" s="466">
        <v>10776729946</v>
      </c>
      <c r="R29" s="466">
        <v>6842739540</v>
      </c>
      <c r="S29" s="466">
        <v>0</v>
      </c>
      <c r="T29" s="2253">
        <f t="shared" si="10"/>
        <v>0.63495509067106393</v>
      </c>
      <c r="U29" s="2253">
        <f t="shared" si="10"/>
        <v>0</v>
      </c>
      <c r="V29" s="453">
        <v>45444</v>
      </c>
      <c r="W29" s="889">
        <v>45657</v>
      </c>
      <c r="X29" s="213" t="s">
        <v>5315</v>
      </c>
      <c r="Y29" s="3147"/>
    </row>
    <row r="30" spans="1:25" ht="25.5">
      <c r="A30" s="252"/>
      <c r="B30" s="240">
        <v>51030010005</v>
      </c>
      <c r="C30" s="240" t="s">
        <v>103</v>
      </c>
      <c r="D30" s="237" t="s">
        <v>2488</v>
      </c>
      <c r="E30" s="417"/>
      <c r="F30" s="466">
        <v>0</v>
      </c>
      <c r="G30" s="213"/>
      <c r="H30" s="466">
        <f t="shared" ref="H30:H31" si="14">H31</f>
        <v>38</v>
      </c>
      <c r="I30" s="213"/>
      <c r="J30" s="863"/>
      <c r="K30" s="445">
        <f t="shared" ref="K30:K31" si="15">K31</f>
        <v>25</v>
      </c>
      <c r="L30" s="984"/>
      <c r="M30" s="413"/>
      <c r="N30" s="984"/>
      <c r="O30" s="984"/>
      <c r="P30" s="466"/>
      <c r="Q30" s="466"/>
      <c r="R30" s="466"/>
      <c r="S30" s="466"/>
      <c r="T30" s="417"/>
      <c r="U30" s="417"/>
      <c r="V30" s="453"/>
      <c r="W30" s="889"/>
      <c r="X30" s="213"/>
      <c r="Y30" s="883"/>
    </row>
    <row r="31" spans="1:25">
      <c r="A31" s="2823">
        <v>4148</v>
      </c>
      <c r="B31" s="2823"/>
      <c r="C31" s="2823" t="s">
        <v>109</v>
      </c>
      <c r="D31" s="3027" t="s">
        <v>2489</v>
      </c>
      <c r="E31" s="863" t="s">
        <v>2490</v>
      </c>
      <c r="F31" s="466"/>
      <c r="G31" s="2172"/>
      <c r="H31" s="466">
        <f t="shared" si="14"/>
        <v>38</v>
      </c>
      <c r="I31" s="213"/>
      <c r="J31" s="863"/>
      <c r="K31" s="445">
        <f t="shared" si="15"/>
        <v>25</v>
      </c>
      <c r="L31" s="984">
        <f>SUM(L32:L33)</f>
        <v>1</v>
      </c>
      <c r="M31" s="413"/>
      <c r="N31" s="984">
        <f>SUM(N32:N33)</f>
        <v>0.67</v>
      </c>
      <c r="O31" s="3156">
        <f>IF(Q31&gt;0,N31,"na")</f>
        <v>0.67</v>
      </c>
      <c r="P31" s="466">
        <f t="shared" ref="P31:S31" si="16">SUM(P32:P33)</f>
        <v>274181900</v>
      </c>
      <c r="Q31" s="466">
        <f t="shared" si="16"/>
        <v>274181900</v>
      </c>
      <c r="R31" s="466">
        <f t="shared" si="16"/>
        <v>244027300</v>
      </c>
      <c r="S31" s="466">
        <f t="shared" si="16"/>
        <v>207947300</v>
      </c>
      <c r="T31" s="2253">
        <f t="shared" ref="T31:U33" si="17">IF(Q31=0,0,R31/Q31)</f>
        <v>0.89001972777925897</v>
      </c>
      <c r="U31" s="2253">
        <f t="shared" si="17"/>
        <v>0.85214769003304136</v>
      </c>
      <c r="V31" s="453"/>
      <c r="W31" s="889"/>
      <c r="X31" s="2260"/>
      <c r="Y31" s="2841" t="s">
        <v>2453</v>
      </c>
    </row>
    <row r="32" spans="1:25" ht="202.5">
      <c r="A32" s="2875"/>
      <c r="B32" s="2875"/>
      <c r="C32" s="2875"/>
      <c r="D32" s="2875"/>
      <c r="E32" s="417" t="s">
        <v>2491</v>
      </c>
      <c r="F32" s="466"/>
      <c r="G32" s="2172" t="s">
        <v>2488</v>
      </c>
      <c r="H32" s="466">
        <v>38</v>
      </c>
      <c r="I32" s="213" t="s">
        <v>2492</v>
      </c>
      <c r="J32" s="213" t="s">
        <v>2493</v>
      </c>
      <c r="K32" s="445">
        <v>25</v>
      </c>
      <c r="L32" s="984">
        <v>0.95</v>
      </c>
      <c r="M32" s="413">
        <v>38</v>
      </c>
      <c r="N32" s="984">
        <v>0.67</v>
      </c>
      <c r="O32" s="2875"/>
      <c r="P32" s="466">
        <v>269181900</v>
      </c>
      <c r="Q32" s="466">
        <v>269181900</v>
      </c>
      <c r="R32" s="466">
        <v>244027300</v>
      </c>
      <c r="S32" s="466">
        <v>207947300</v>
      </c>
      <c r="T32" s="2253">
        <f t="shared" si="17"/>
        <v>0.90655166636389739</v>
      </c>
      <c r="U32" s="2253">
        <f t="shared" si="17"/>
        <v>0.85214769003304136</v>
      </c>
      <c r="V32" s="453">
        <v>45363</v>
      </c>
      <c r="W32" s="889">
        <v>45596</v>
      </c>
      <c r="X32" s="213" t="s">
        <v>5316</v>
      </c>
      <c r="Y32" s="3146"/>
    </row>
    <row r="33" spans="1:25" ht="40.5">
      <c r="A33" s="2876"/>
      <c r="B33" s="2876"/>
      <c r="C33" s="2876"/>
      <c r="D33" s="2876"/>
      <c r="E33" s="417" t="s">
        <v>2494</v>
      </c>
      <c r="F33" s="466"/>
      <c r="G33" s="213"/>
      <c r="H33" s="466"/>
      <c r="I33" s="213" t="s">
        <v>2495</v>
      </c>
      <c r="J33" s="213" t="s">
        <v>2459</v>
      </c>
      <c r="K33" s="445">
        <v>15</v>
      </c>
      <c r="L33" s="984">
        <v>0.05</v>
      </c>
      <c r="M33" s="413">
        <v>0</v>
      </c>
      <c r="N33" s="984">
        <v>0</v>
      </c>
      <c r="O33" s="2876"/>
      <c r="P33" s="466">
        <v>5000000</v>
      </c>
      <c r="Q33" s="466">
        <v>5000000</v>
      </c>
      <c r="R33" s="466">
        <v>0</v>
      </c>
      <c r="S33" s="466">
        <v>0</v>
      </c>
      <c r="T33" s="2253">
        <f t="shared" si="17"/>
        <v>0</v>
      </c>
      <c r="U33" s="2253">
        <f t="shared" si="17"/>
        <v>0</v>
      </c>
      <c r="V33" s="453"/>
      <c r="W33" s="889"/>
      <c r="X33" s="213"/>
      <c r="Y33" s="3147"/>
    </row>
    <row r="34" spans="1:25" ht="31.5">
      <c r="A34" s="326"/>
      <c r="B34" s="2230">
        <v>52</v>
      </c>
      <c r="C34" s="2230" t="s">
        <v>100</v>
      </c>
      <c r="D34" s="2274" t="s">
        <v>148</v>
      </c>
      <c r="E34" s="417"/>
      <c r="F34" s="466"/>
      <c r="G34" s="213"/>
      <c r="H34" s="466"/>
      <c r="I34" s="213"/>
      <c r="J34" s="863"/>
      <c r="K34" s="445"/>
      <c r="L34" s="984"/>
      <c r="M34" s="413"/>
      <c r="N34" s="984"/>
      <c r="O34" s="984"/>
      <c r="P34" s="466"/>
      <c r="Q34" s="466"/>
      <c r="R34" s="466"/>
      <c r="S34" s="466"/>
      <c r="T34" s="417"/>
      <c r="U34" s="417"/>
      <c r="V34" s="453"/>
      <c r="W34" s="889"/>
      <c r="X34" s="213"/>
      <c r="Y34" s="883"/>
    </row>
    <row r="35" spans="1:25">
      <c r="A35" s="326"/>
      <c r="B35" s="252">
        <v>5201</v>
      </c>
      <c r="C35" s="252" t="s">
        <v>101</v>
      </c>
      <c r="D35" s="434" t="s">
        <v>1178</v>
      </c>
      <c r="E35" s="417"/>
      <c r="F35" s="466"/>
      <c r="G35" s="213"/>
      <c r="H35" s="466"/>
      <c r="I35" s="213"/>
      <c r="J35" s="863"/>
      <c r="K35" s="445"/>
      <c r="L35" s="984"/>
      <c r="M35" s="413"/>
      <c r="N35" s="984"/>
      <c r="O35" s="984"/>
      <c r="P35" s="466"/>
      <c r="Q35" s="466"/>
      <c r="R35" s="466"/>
      <c r="S35" s="466"/>
      <c r="T35" s="417"/>
      <c r="U35" s="417"/>
      <c r="V35" s="453"/>
      <c r="W35" s="889"/>
      <c r="X35" s="213"/>
      <c r="Y35" s="883"/>
    </row>
    <row r="36" spans="1:25" ht="33">
      <c r="A36" s="326"/>
      <c r="B36" s="252">
        <v>5201005</v>
      </c>
      <c r="C36" s="252" t="s">
        <v>102</v>
      </c>
      <c r="D36" s="434" t="s">
        <v>2496</v>
      </c>
      <c r="E36" s="417"/>
      <c r="F36" s="466"/>
      <c r="G36" s="213"/>
      <c r="H36" s="466"/>
      <c r="I36" s="213"/>
      <c r="J36" s="863"/>
      <c r="K36" s="445"/>
      <c r="L36" s="984"/>
      <c r="M36" s="413"/>
      <c r="N36" s="984"/>
      <c r="O36" s="984"/>
      <c r="P36" s="466"/>
      <c r="Q36" s="466"/>
      <c r="R36" s="466"/>
      <c r="S36" s="466"/>
      <c r="T36" s="417"/>
      <c r="U36" s="417"/>
      <c r="V36" s="453"/>
      <c r="W36" s="889"/>
      <c r="X36" s="213"/>
      <c r="Y36" s="883"/>
    </row>
    <row r="37" spans="1:25" ht="38.25">
      <c r="A37" s="326"/>
      <c r="B37" s="240">
        <v>52010050014</v>
      </c>
      <c r="C37" s="240" t="s">
        <v>103</v>
      </c>
      <c r="D37" s="235" t="s">
        <v>2497</v>
      </c>
      <c r="E37" s="417"/>
      <c r="F37" s="466">
        <v>0</v>
      </c>
      <c r="G37" s="213"/>
      <c r="H37" s="466">
        <f>H38</f>
        <v>0</v>
      </c>
      <c r="I37" s="213"/>
      <c r="J37" s="863"/>
      <c r="K37" s="445">
        <f>K38</f>
        <v>145</v>
      </c>
      <c r="L37" s="984"/>
      <c r="M37" s="413"/>
      <c r="N37" s="984"/>
      <c r="O37" s="984"/>
      <c r="P37" s="466"/>
      <c r="Q37" s="466"/>
      <c r="R37" s="466"/>
      <c r="S37" s="466"/>
      <c r="T37" s="417"/>
      <c r="U37" s="417"/>
      <c r="V37" s="453"/>
      <c r="W37" s="889"/>
      <c r="X37" s="213"/>
      <c r="Y37" s="883"/>
    </row>
    <row r="38" spans="1:25">
      <c r="A38" s="2823">
        <v>4148</v>
      </c>
      <c r="B38" s="2823"/>
      <c r="C38" s="2823" t="s">
        <v>109</v>
      </c>
      <c r="D38" s="3027" t="s">
        <v>2498</v>
      </c>
      <c r="E38" s="863" t="s">
        <v>2499</v>
      </c>
      <c r="F38" s="466"/>
      <c r="G38" s="213"/>
      <c r="H38" s="466">
        <f>H40</f>
        <v>0</v>
      </c>
      <c r="I38" s="213"/>
      <c r="J38" s="863"/>
      <c r="K38" s="445">
        <f>K40</f>
        <v>145</v>
      </c>
      <c r="L38" s="984">
        <f>SUM(L39:L40)</f>
        <v>1</v>
      </c>
      <c r="M38" s="413"/>
      <c r="N38" s="984">
        <f>SUM(N39:N40)</f>
        <v>8.3000000000000004E-2</v>
      </c>
      <c r="O38" s="3156">
        <f>IF(Q38&gt;0,N38,"na")</f>
        <v>8.3000000000000004E-2</v>
      </c>
      <c r="P38" s="466">
        <f t="shared" ref="P38:S38" si="18">SUM(P39:P40)</f>
        <v>222216565</v>
      </c>
      <c r="Q38" s="466">
        <f t="shared" si="18"/>
        <v>222216565</v>
      </c>
      <c r="R38" s="466">
        <f t="shared" si="18"/>
        <v>32814000</v>
      </c>
      <c r="S38" s="466">
        <f t="shared" si="18"/>
        <v>18230000</v>
      </c>
      <c r="T38" s="2253">
        <f t="shared" ref="T38:U40" si="19">IF(Q38=0,0,R38/Q38)</f>
        <v>0.147666759226523</v>
      </c>
      <c r="U38" s="2253">
        <f t="shared" si="19"/>
        <v>0.55555555555555558</v>
      </c>
      <c r="V38" s="453"/>
      <c r="W38" s="889"/>
      <c r="X38" s="2260"/>
      <c r="Y38" s="2841" t="s">
        <v>2474</v>
      </c>
    </row>
    <row r="39" spans="1:25" ht="40.5">
      <c r="A39" s="2875"/>
      <c r="B39" s="2875"/>
      <c r="C39" s="2875"/>
      <c r="D39" s="2875"/>
      <c r="E39" s="417" t="s">
        <v>2500</v>
      </c>
      <c r="F39" s="466"/>
      <c r="G39" s="213"/>
      <c r="H39" s="466"/>
      <c r="I39" s="213" t="s">
        <v>2501</v>
      </c>
      <c r="J39" s="213" t="s">
        <v>2459</v>
      </c>
      <c r="K39" s="445">
        <v>2</v>
      </c>
      <c r="L39" s="984">
        <v>0.45</v>
      </c>
      <c r="M39" s="413">
        <v>0</v>
      </c>
      <c r="N39" s="984">
        <v>0</v>
      </c>
      <c r="O39" s="2875"/>
      <c r="P39" s="466">
        <v>145011571</v>
      </c>
      <c r="Q39" s="466">
        <v>145011571</v>
      </c>
      <c r="R39" s="466">
        <v>0</v>
      </c>
      <c r="S39" s="466">
        <v>0</v>
      </c>
      <c r="T39" s="2253">
        <f t="shared" si="19"/>
        <v>0</v>
      </c>
      <c r="U39" s="2253">
        <f t="shared" si="19"/>
        <v>0</v>
      </c>
      <c r="V39" s="453"/>
      <c r="W39" s="889"/>
      <c r="X39" s="213"/>
      <c r="Y39" s="3146"/>
    </row>
    <row r="40" spans="1:25" ht="67.5">
      <c r="A40" s="2876"/>
      <c r="B40" s="2876"/>
      <c r="C40" s="2876"/>
      <c r="D40" s="2876"/>
      <c r="E40" s="417" t="s">
        <v>2502</v>
      </c>
      <c r="F40" s="466"/>
      <c r="G40" s="213" t="s">
        <v>2497</v>
      </c>
      <c r="H40" s="466">
        <v>0</v>
      </c>
      <c r="I40" s="213" t="s">
        <v>2503</v>
      </c>
      <c r="J40" s="213" t="s">
        <v>2504</v>
      </c>
      <c r="K40" s="445">
        <v>145</v>
      </c>
      <c r="L40" s="984">
        <v>0.55000000000000004</v>
      </c>
      <c r="M40" s="413">
        <v>0</v>
      </c>
      <c r="N40" s="984">
        <v>8.3000000000000004E-2</v>
      </c>
      <c r="O40" s="2876"/>
      <c r="P40" s="466">
        <v>77204994</v>
      </c>
      <c r="Q40" s="466">
        <v>77204994</v>
      </c>
      <c r="R40" s="466">
        <v>32814000</v>
      </c>
      <c r="S40" s="466">
        <v>18230000</v>
      </c>
      <c r="T40" s="2253">
        <f t="shared" si="19"/>
        <v>0.42502431902267879</v>
      </c>
      <c r="U40" s="2253">
        <f t="shared" si="19"/>
        <v>0.55555555555555558</v>
      </c>
      <c r="V40" s="453">
        <v>45370</v>
      </c>
      <c r="W40" s="889">
        <v>45596</v>
      </c>
      <c r="X40" s="213" t="s">
        <v>5317</v>
      </c>
      <c r="Y40" s="3147"/>
    </row>
    <row r="41" spans="1:25" ht="33">
      <c r="A41" s="326"/>
      <c r="B41" s="252">
        <v>5202</v>
      </c>
      <c r="C41" s="252" t="s">
        <v>101</v>
      </c>
      <c r="D41" s="434" t="s">
        <v>1210</v>
      </c>
      <c r="E41" s="417"/>
      <c r="F41" s="466"/>
      <c r="G41" s="213"/>
      <c r="H41" s="466"/>
      <c r="I41" s="213"/>
      <c r="J41" s="863"/>
      <c r="K41" s="445"/>
      <c r="L41" s="984"/>
      <c r="M41" s="413"/>
      <c r="N41" s="984"/>
      <c r="O41" s="984"/>
      <c r="P41" s="466"/>
      <c r="Q41" s="466"/>
      <c r="R41" s="466"/>
      <c r="S41" s="466"/>
      <c r="T41" s="417"/>
      <c r="U41" s="417"/>
      <c r="V41" s="453"/>
      <c r="W41" s="889"/>
      <c r="X41" s="213"/>
      <c r="Y41" s="883"/>
    </row>
    <row r="42" spans="1:25" ht="33">
      <c r="A42" s="326"/>
      <c r="B42" s="252">
        <v>5202001</v>
      </c>
      <c r="C42" s="252" t="s">
        <v>102</v>
      </c>
      <c r="D42" s="434" t="s">
        <v>1514</v>
      </c>
      <c r="E42" s="417"/>
      <c r="F42" s="466"/>
      <c r="G42" s="213"/>
      <c r="H42" s="466"/>
      <c r="I42" s="213"/>
      <c r="J42" s="863"/>
      <c r="K42" s="445"/>
      <c r="L42" s="984"/>
      <c r="M42" s="413"/>
      <c r="N42" s="984"/>
      <c r="O42" s="984"/>
      <c r="P42" s="466"/>
      <c r="Q42" s="466"/>
      <c r="R42" s="466"/>
      <c r="S42" s="466"/>
      <c r="T42" s="417"/>
      <c r="U42" s="417"/>
      <c r="V42" s="453"/>
      <c r="W42" s="889"/>
      <c r="X42" s="213"/>
      <c r="Y42" s="883"/>
    </row>
    <row r="43" spans="1:25" ht="51">
      <c r="A43" s="326"/>
      <c r="B43" s="240">
        <v>52020010008</v>
      </c>
      <c r="C43" s="240" t="s">
        <v>103</v>
      </c>
      <c r="D43" s="235" t="s">
        <v>2505</v>
      </c>
      <c r="E43" s="417"/>
      <c r="F43" s="466">
        <v>0</v>
      </c>
      <c r="G43" s="213"/>
      <c r="H43" s="466">
        <f t="shared" ref="H43:H44" si="20">H44</f>
        <v>0</v>
      </c>
      <c r="I43" s="213"/>
      <c r="J43" s="863"/>
      <c r="K43" s="445">
        <f t="shared" ref="K43:K44" si="21">K44</f>
        <v>128</v>
      </c>
      <c r="L43" s="984"/>
      <c r="M43" s="413"/>
      <c r="N43" s="984"/>
      <c r="O43" s="984"/>
      <c r="P43" s="466"/>
      <c r="Q43" s="466"/>
      <c r="R43" s="466"/>
      <c r="S43" s="466"/>
      <c r="T43" s="417"/>
      <c r="U43" s="417"/>
      <c r="V43" s="453"/>
      <c r="W43" s="889"/>
      <c r="X43" s="213"/>
      <c r="Y43" s="883"/>
    </row>
    <row r="44" spans="1:25">
      <c r="A44" s="2823">
        <v>4148</v>
      </c>
      <c r="B44" s="2823"/>
      <c r="C44" s="2823" t="s">
        <v>109</v>
      </c>
      <c r="D44" s="3027" t="s">
        <v>2506</v>
      </c>
      <c r="E44" s="863" t="s">
        <v>2507</v>
      </c>
      <c r="F44" s="466"/>
      <c r="G44" s="213"/>
      <c r="H44" s="466">
        <f t="shared" si="20"/>
        <v>0</v>
      </c>
      <c r="I44" s="213"/>
      <c r="J44" s="863"/>
      <c r="K44" s="445">
        <f t="shared" si="21"/>
        <v>128</v>
      </c>
      <c r="L44" s="984">
        <f>SUM(L45:L46)</f>
        <v>1</v>
      </c>
      <c r="M44" s="413"/>
      <c r="N44" s="984">
        <f>SUM(N45:N46)</f>
        <v>0.28000000000000003</v>
      </c>
      <c r="O44" s="3156">
        <f>IF(Q44&gt;0,N44,"na")</f>
        <v>0.28000000000000003</v>
      </c>
      <c r="P44" s="466">
        <f t="shared" ref="P44:S44" si="22">SUM(P45:P46)</f>
        <v>68028480</v>
      </c>
      <c r="Q44" s="466">
        <f t="shared" si="22"/>
        <v>68028480</v>
      </c>
      <c r="R44" s="466">
        <f t="shared" si="22"/>
        <v>10462000</v>
      </c>
      <c r="S44" s="466">
        <f t="shared" si="22"/>
        <v>10462000</v>
      </c>
      <c r="T44" s="2253">
        <f t="shared" ref="T44:U46" si="23">IF(Q44=0,0,R44/Q44)</f>
        <v>0.15378853092116712</v>
      </c>
      <c r="U44" s="2253">
        <f t="shared" si="23"/>
        <v>1</v>
      </c>
      <c r="V44" s="453"/>
      <c r="W44" s="889"/>
      <c r="X44" s="2260"/>
      <c r="Y44" s="2841" t="s">
        <v>2474</v>
      </c>
    </row>
    <row r="45" spans="1:25" ht="67.5">
      <c r="A45" s="2875"/>
      <c r="B45" s="2875"/>
      <c r="C45" s="2875"/>
      <c r="D45" s="2875"/>
      <c r="E45" s="417" t="s">
        <v>2508</v>
      </c>
      <c r="F45" s="466"/>
      <c r="G45" s="2159" t="s">
        <v>2505</v>
      </c>
      <c r="H45" s="2275">
        <v>0</v>
      </c>
      <c r="I45" s="213" t="s">
        <v>2509</v>
      </c>
      <c r="J45" s="863" t="s">
        <v>2510</v>
      </c>
      <c r="K45" s="445">
        <v>128</v>
      </c>
      <c r="L45" s="984">
        <v>0.94</v>
      </c>
      <c r="M45" s="413">
        <v>0</v>
      </c>
      <c r="N45" s="984">
        <v>0.28000000000000003</v>
      </c>
      <c r="O45" s="2875"/>
      <c r="P45" s="466">
        <v>58028480</v>
      </c>
      <c r="Q45" s="466">
        <v>58028480</v>
      </c>
      <c r="R45" s="466">
        <v>10462000</v>
      </c>
      <c r="S45" s="466">
        <v>10462000</v>
      </c>
      <c r="T45" s="2253">
        <f t="shared" si="23"/>
        <v>0.18029078135425916</v>
      </c>
      <c r="U45" s="2253">
        <f t="shared" si="23"/>
        <v>1</v>
      </c>
      <c r="V45" s="453">
        <v>45362</v>
      </c>
      <c r="W45" s="889">
        <v>45596</v>
      </c>
      <c r="X45" s="213" t="s">
        <v>5318</v>
      </c>
      <c r="Y45" s="3146"/>
    </row>
    <row r="46" spans="1:25" ht="54">
      <c r="A46" s="2876"/>
      <c r="B46" s="2876"/>
      <c r="C46" s="2876"/>
      <c r="D46" s="2876"/>
      <c r="E46" s="417" t="s">
        <v>2511</v>
      </c>
      <c r="F46" s="466"/>
      <c r="G46" s="422"/>
      <c r="H46" s="466"/>
      <c r="I46" s="213" t="s">
        <v>2512</v>
      </c>
      <c r="J46" s="863" t="s">
        <v>2513</v>
      </c>
      <c r="K46" s="445">
        <v>5</v>
      </c>
      <c r="L46" s="984">
        <v>0.06</v>
      </c>
      <c r="M46" s="413">
        <v>0</v>
      </c>
      <c r="N46" s="984">
        <v>0</v>
      </c>
      <c r="O46" s="2876"/>
      <c r="P46" s="466">
        <v>10000000</v>
      </c>
      <c r="Q46" s="466">
        <v>10000000</v>
      </c>
      <c r="R46" s="466">
        <v>0</v>
      </c>
      <c r="S46" s="466">
        <v>0</v>
      </c>
      <c r="T46" s="2253">
        <f t="shared" si="23"/>
        <v>0</v>
      </c>
      <c r="U46" s="2253">
        <f t="shared" si="23"/>
        <v>0</v>
      </c>
      <c r="V46" s="453"/>
      <c r="W46" s="889"/>
      <c r="X46" s="213"/>
      <c r="Y46" s="3147"/>
    </row>
    <row r="47" spans="1:25" ht="51">
      <c r="A47" s="326"/>
      <c r="B47" s="240">
        <v>52020010009</v>
      </c>
      <c r="C47" s="240" t="s">
        <v>103</v>
      </c>
      <c r="D47" s="235" t="s">
        <v>2514</v>
      </c>
      <c r="E47" s="417"/>
      <c r="F47" s="466">
        <v>0</v>
      </c>
      <c r="G47" s="213"/>
      <c r="H47" s="466">
        <f>H48</f>
        <v>0</v>
      </c>
      <c r="I47" s="213"/>
      <c r="J47" s="863"/>
      <c r="K47" s="445">
        <f>K48</f>
        <v>3066</v>
      </c>
      <c r="L47" s="984"/>
      <c r="M47" s="413"/>
      <c r="N47" s="984"/>
      <c r="O47" s="984"/>
      <c r="P47" s="466"/>
      <c r="Q47" s="466"/>
      <c r="R47" s="466"/>
      <c r="S47" s="466"/>
      <c r="T47" s="417"/>
      <c r="U47" s="417"/>
      <c r="V47" s="453"/>
      <c r="W47" s="889"/>
      <c r="X47" s="213"/>
      <c r="Y47" s="883"/>
    </row>
    <row r="48" spans="1:25">
      <c r="A48" s="2823">
        <v>4148</v>
      </c>
      <c r="B48" s="2823"/>
      <c r="C48" s="2823" t="s">
        <v>109</v>
      </c>
      <c r="D48" s="3027" t="s">
        <v>2515</v>
      </c>
      <c r="E48" s="863" t="s">
        <v>2516</v>
      </c>
      <c r="F48" s="466"/>
      <c r="G48" s="213"/>
      <c r="H48" s="466">
        <f>H49+H50</f>
        <v>0</v>
      </c>
      <c r="I48" s="213"/>
      <c r="J48" s="863"/>
      <c r="K48" s="445">
        <f>K49+K50</f>
        <v>3066</v>
      </c>
      <c r="L48" s="984">
        <f>SUM(L49:L50)</f>
        <v>1</v>
      </c>
      <c r="M48" s="413"/>
      <c r="N48" s="984">
        <f>SUM(N49:N50)</f>
        <v>0.02</v>
      </c>
      <c r="O48" s="3156">
        <f>IF(Q48&gt;0,N48,"na")</f>
        <v>0.02</v>
      </c>
      <c r="P48" s="466">
        <f t="shared" ref="P48:S48" si="24">SUM(P49:P50)</f>
        <v>199998042</v>
      </c>
      <c r="Q48" s="466">
        <f t="shared" si="24"/>
        <v>199998042</v>
      </c>
      <c r="R48" s="466">
        <f t="shared" si="24"/>
        <v>105909642</v>
      </c>
      <c r="S48" s="466">
        <f t="shared" si="24"/>
        <v>0</v>
      </c>
      <c r="T48" s="2253">
        <f t="shared" ref="T48:U50" si="25">IF(Q48=0,0,R48/Q48)</f>
        <v>0.52955339432773052</v>
      </c>
      <c r="U48" s="2253">
        <f t="shared" si="25"/>
        <v>0</v>
      </c>
      <c r="V48" s="453"/>
      <c r="W48" s="889"/>
      <c r="X48" s="2260"/>
      <c r="Y48" s="2841" t="s">
        <v>2474</v>
      </c>
    </row>
    <row r="49" spans="1:25" ht="94.5">
      <c r="A49" s="2875"/>
      <c r="B49" s="2875"/>
      <c r="C49" s="2875"/>
      <c r="D49" s="2875"/>
      <c r="E49" s="417" t="s">
        <v>2517</v>
      </c>
      <c r="F49" s="466"/>
      <c r="G49" s="880" t="s">
        <v>2514</v>
      </c>
      <c r="H49" s="466">
        <v>0</v>
      </c>
      <c r="I49" s="213" t="s">
        <v>2518</v>
      </c>
      <c r="J49" s="863" t="s">
        <v>2519</v>
      </c>
      <c r="K49" s="445">
        <v>2566</v>
      </c>
      <c r="L49" s="984">
        <v>0.91</v>
      </c>
      <c r="M49" s="413">
        <v>0</v>
      </c>
      <c r="N49" s="984">
        <v>0.01</v>
      </c>
      <c r="O49" s="2875"/>
      <c r="P49" s="466">
        <v>181950617</v>
      </c>
      <c r="Q49" s="466">
        <v>181950617</v>
      </c>
      <c r="R49" s="466">
        <v>87862217</v>
      </c>
      <c r="S49" s="466">
        <v>0</v>
      </c>
      <c r="T49" s="2253">
        <f t="shared" si="25"/>
        <v>0.48289045922828611</v>
      </c>
      <c r="U49" s="2253">
        <f t="shared" si="25"/>
        <v>0</v>
      </c>
      <c r="V49" s="453">
        <v>45397</v>
      </c>
      <c r="W49" s="889">
        <v>45596</v>
      </c>
      <c r="X49" s="213" t="s">
        <v>5319</v>
      </c>
      <c r="Y49" s="3146"/>
    </row>
    <row r="50" spans="1:25" ht="94.5">
      <c r="A50" s="2876"/>
      <c r="B50" s="2876"/>
      <c r="C50" s="2876"/>
      <c r="D50" s="2876"/>
      <c r="E50" s="417" t="s">
        <v>2520</v>
      </c>
      <c r="F50" s="2276"/>
      <c r="G50" s="265" t="s">
        <v>2514</v>
      </c>
      <c r="H50" s="2277">
        <v>0</v>
      </c>
      <c r="I50" s="213" t="s">
        <v>2521</v>
      </c>
      <c r="J50" s="863" t="s">
        <v>106</v>
      </c>
      <c r="K50" s="445">
        <v>500</v>
      </c>
      <c r="L50" s="984">
        <v>0.09</v>
      </c>
      <c r="M50" s="413">
        <v>0</v>
      </c>
      <c r="N50" s="984">
        <v>0.01</v>
      </c>
      <c r="O50" s="2876"/>
      <c r="P50" s="466">
        <v>18047425</v>
      </c>
      <c r="Q50" s="466">
        <v>18047425</v>
      </c>
      <c r="R50" s="466">
        <v>18047425</v>
      </c>
      <c r="S50" s="466">
        <v>0</v>
      </c>
      <c r="T50" s="2253">
        <f t="shared" si="25"/>
        <v>1</v>
      </c>
      <c r="U50" s="2253">
        <f t="shared" si="25"/>
        <v>0</v>
      </c>
      <c r="V50" s="453">
        <v>45397</v>
      </c>
      <c r="W50" s="889">
        <v>45616</v>
      </c>
      <c r="X50" s="213" t="s">
        <v>5320</v>
      </c>
      <c r="Y50" s="3147"/>
    </row>
    <row r="51" spans="1:25" ht="33">
      <c r="A51" s="326"/>
      <c r="B51" s="252">
        <v>5202003</v>
      </c>
      <c r="C51" s="252" t="s">
        <v>102</v>
      </c>
      <c r="D51" s="434" t="s">
        <v>2522</v>
      </c>
      <c r="E51" s="417"/>
      <c r="F51" s="466"/>
      <c r="G51" s="213"/>
      <c r="H51" s="466"/>
      <c r="I51" s="213"/>
      <c r="J51" s="863"/>
      <c r="K51" s="445"/>
      <c r="L51" s="984"/>
      <c r="M51" s="413"/>
      <c r="N51" s="984"/>
      <c r="O51" s="984"/>
      <c r="P51" s="466"/>
      <c r="Q51" s="466"/>
      <c r="R51" s="466"/>
      <c r="S51" s="466"/>
      <c r="T51" s="417"/>
      <c r="U51" s="417"/>
      <c r="V51" s="453"/>
      <c r="W51" s="889"/>
      <c r="X51" s="213"/>
      <c r="Y51" s="883"/>
    </row>
    <row r="52" spans="1:25" ht="63.75">
      <c r="A52" s="1212"/>
      <c r="B52" s="2278">
        <v>52020030007</v>
      </c>
      <c r="C52" s="2278" t="s">
        <v>103</v>
      </c>
      <c r="D52" s="2279" t="s">
        <v>2523</v>
      </c>
      <c r="E52" s="417"/>
      <c r="F52" s="466">
        <v>0</v>
      </c>
      <c r="G52" s="213"/>
      <c r="H52" s="466">
        <f>H53+H56</f>
        <v>0</v>
      </c>
      <c r="I52" s="213"/>
      <c r="J52" s="863"/>
      <c r="K52" s="445">
        <f>K53+K56</f>
        <v>6</v>
      </c>
      <c r="L52" s="984"/>
      <c r="M52" s="413"/>
      <c r="N52" s="984"/>
      <c r="O52" s="984"/>
      <c r="P52" s="466"/>
      <c r="Q52" s="466"/>
      <c r="R52" s="466"/>
      <c r="S52" s="466"/>
      <c r="T52" s="417"/>
      <c r="U52" s="417"/>
      <c r="V52" s="453"/>
      <c r="W52" s="889"/>
      <c r="X52" s="213"/>
      <c r="Y52" s="883"/>
    </row>
    <row r="53" spans="1:25">
      <c r="A53" s="2823">
        <v>4148</v>
      </c>
      <c r="B53" s="2823"/>
      <c r="C53" s="2823" t="s">
        <v>109</v>
      </c>
      <c r="D53" s="3027" t="s">
        <v>2524</v>
      </c>
      <c r="E53" s="863" t="s">
        <v>2525</v>
      </c>
      <c r="F53" s="466"/>
      <c r="G53" s="213"/>
      <c r="H53" s="466">
        <f>H55</f>
        <v>0</v>
      </c>
      <c r="I53" s="213"/>
      <c r="J53" s="863"/>
      <c r="K53" s="445">
        <f>K55</f>
        <v>1</v>
      </c>
      <c r="L53" s="984">
        <f>SUM(L54:L55)</f>
        <v>1</v>
      </c>
      <c r="M53" s="413"/>
      <c r="N53" s="984">
        <f>SUM(N54:N55)</f>
        <v>0.22</v>
      </c>
      <c r="O53" s="3156">
        <f>IF(Q53&gt;0,N53,"na")</f>
        <v>0.22</v>
      </c>
      <c r="P53" s="466">
        <f t="shared" ref="P53:S53" si="26">SUM(P54:P55)</f>
        <v>90668760</v>
      </c>
      <c r="Q53" s="466">
        <f t="shared" si="26"/>
        <v>90668760</v>
      </c>
      <c r="R53" s="466">
        <f t="shared" si="26"/>
        <v>52936500</v>
      </c>
      <c r="S53" s="466">
        <f t="shared" si="26"/>
        <v>23350000</v>
      </c>
      <c r="T53" s="2253">
        <f t="shared" ref="T53:U56" si="27">IF(Q53=0,0,R53/Q53)</f>
        <v>0.58384497593217333</v>
      </c>
      <c r="U53" s="2253">
        <f t="shared" si="27"/>
        <v>0.44109451890472545</v>
      </c>
      <c r="V53" s="453"/>
      <c r="W53" s="889"/>
      <c r="X53" s="2260"/>
      <c r="Y53" s="2841" t="s">
        <v>2453</v>
      </c>
    </row>
    <row r="54" spans="1:25" ht="121.5">
      <c r="A54" s="2875"/>
      <c r="B54" s="2875"/>
      <c r="C54" s="2875"/>
      <c r="D54" s="2875"/>
      <c r="E54" s="417" t="s">
        <v>2526</v>
      </c>
      <c r="F54" s="466"/>
      <c r="G54" s="213"/>
      <c r="H54" s="466"/>
      <c r="I54" s="213" t="s">
        <v>2527</v>
      </c>
      <c r="J54" s="213" t="s">
        <v>2528</v>
      </c>
      <c r="K54" s="445">
        <v>1</v>
      </c>
      <c r="L54" s="984">
        <v>0.52</v>
      </c>
      <c r="M54" s="2280">
        <v>1</v>
      </c>
      <c r="N54" s="984">
        <v>0.22</v>
      </c>
      <c r="O54" s="2875"/>
      <c r="P54" s="466">
        <v>63867217</v>
      </c>
      <c r="Q54" s="466">
        <v>63867217</v>
      </c>
      <c r="R54" s="466">
        <v>52936500</v>
      </c>
      <c r="S54" s="466">
        <v>23350000</v>
      </c>
      <c r="T54" s="2253">
        <f t="shared" si="27"/>
        <v>0.82885246119304057</v>
      </c>
      <c r="U54" s="2253">
        <f t="shared" si="27"/>
        <v>0.44109451890472545</v>
      </c>
      <c r="V54" s="453">
        <v>45391</v>
      </c>
      <c r="W54" s="889">
        <v>45596</v>
      </c>
      <c r="X54" s="1035" t="s">
        <v>5321</v>
      </c>
      <c r="Y54" s="3146"/>
    </row>
    <row r="55" spans="1:25" ht="81">
      <c r="A55" s="2876"/>
      <c r="B55" s="2876"/>
      <c r="C55" s="2876"/>
      <c r="D55" s="2876"/>
      <c r="E55" s="417" t="s">
        <v>2529</v>
      </c>
      <c r="F55" s="466"/>
      <c r="G55" s="213" t="s">
        <v>2523</v>
      </c>
      <c r="H55" s="466">
        <v>0</v>
      </c>
      <c r="I55" s="213" t="s">
        <v>2530</v>
      </c>
      <c r="J55" s="863" t="s">
        <v>2531</v>
      </c>
      <c r="K55" s="445">
        <v>1</v>
      </c>
      <c r="L55" s="984">
        <v>0.48</v>
      </c>
      <c r="M55" s="413">
        <v>0</v>
      </c>
      <c r="N55" s="984">
        <v>0</v>
      </c>
      <c r="O55" s="2876"/>
      <c r="P55" s="466">
        <v>26801543</v>
      </c>
      <c r="Q55" s="466">
        <v>26801543</v>
      </c>
      <c r="R55" s="466">
        <v>0</v>
      </c>
      <c r="S55" s="466">
        <v>0</v>
      </c>
      <c r="T55" s="2253">
        <f t="shared" si="27"/>
        <v>0</v>
      </c>
      <c r="U55" s="2253">
        <f t="shared" si="27"/>
        <v>0</v>
      </c>
      <c r="V55" s="453"/>
      <c r="W55" s="889"/>
      <c r="X55" s="213"/>
      <c r="Y55" s="3147"/>
    </row>
    <row r="56" spans="1:25">
      <c r="A56" s="2823">
        <v>4148</v>
      </c>
      <c r="B56" s="2823"/>
      <c r="C56" s="2823" t="s">
        <v>109</v>
      </c>
      <c r="D56" s="3027" t="s">
        <v>2532</v>
      </c>
      <c r="E56" s="863" t="s">
        <v>2533</v>
      </c>
      <c r="F56" s="466"/>
      <c r="G56" s="213"/>
      <c r="H56" s="466">
        <f>H57</f>
        <v>0</v>
      </c>
      <c r="I56" s="213"/>
      <c r="J56" s="863"/>
      <c r="K56" s="445">
        <f>K57</f>
        <v>5</v>
      </c>
      <c r="L56" s="984">
        <f>SUM(L57:L58)</f>
        <v>1</v>
      </c>
      <c r="M56" s="413"/>
      <c r="N56" s="984">
        <f>SUM(N57:N58)</f>
        <v>5.3999999999999999E-2</v>
      </c>
      <c r="O56" s="3156">
        <f>IF(Q56&gt;0,N56,"na")</f>
        <v>5.3999999999999999E-2</v>
      </c>
      <c r="P56" s="466">
        <f t="shared" ref="P56:S56" si="28">SUM(P57:P58)</f>
        <v>115698756</v>
      </c>
      <c r="Q56" s="466">
        <f t="shared" si="28"/>
        <v>115698756</v>
      </c>
      <c r="R56" s="466">
        <f t="shared" si="28"/>
        <v>71712000</v>
      </c>
      <c r="S56" s="466">
        <f t="shared" si="28"/>
        <v>40056000</v>
      </c>
      <c r="T56" s="2253">
        <f t="shared" si="27"/>
        <v>0.61981651730118859</v>
      </c>
      <c r="U56" s="2253">
        <f t="shared" si="27"/>
        <v>0.55856760374832659</v>
      </c>
      <c r="V56" s="453"/>
      <c r="W56" s="889"/>
      <c r="X56" s="2260"/>
      <c r="Y56" s="2841" t="s">
        <v>2474</v>
      </c>
    </row>
    <row r="57" spans="1:25" ht="135">
      <c r="A57" s="2875"/>
      <c r="B57" s="2875"/>
      <c r="C57" s="2875"/>
      <c r="D57" s="2875"/>
      <c r="E57" s="417" t="s">
        <v>2534</v>
      </c>
      <c r="F57" s="466"/>
      <c r="G57" s="2159" t="s">
        <v>2523</v>
      </c>
      <c r="H57" s="466">
        <v>0</v>
      </c>
      <c r="I57" s="213" t="s">
        <v>2535</v>
      </c>
      <c r="J57" s="863" t="s">
        <v>2536</v>
      </c>
      <c r="K57" s="445">
        <v>5</v>
      </c>
      <c r="L57" s="984">
        <v>0.68</v>
      </c>
      <c r="M57" s="413">
        <v>0</v>
      </c>
      <c r="N57" s="984">
        <v>5.3999999999999999E-2</v>
      </c>
      <c r="O57" s="2875"/>
      <c r="P57" s="466">
        <v>94245000</v>
      </c>
      <c r="Q57" s="466">
        <v>94245000</v>
      </c>
      <c r="R57" s="466">
        <v>71712000</v>
      </c>
      <c r="S57" s="466">
        <v>40056000</v>
      </c>
      <c r="T57" s="2281">
        <v>45596</v>
      </c>
      <c r="U57" s="2253">
        <f>IF(R57=0,0,S57/R57)</f>
        <v>0.55856760374832659</v>
      </c>
      <c r="V57" s="453">
        <v>45358</v>
      </c>
      <c r="W57" s="889">
        <v>45596</v>
      </c>
      <c r="X57" s="1035" t="s">
        <v>5322</v>
      </c>
      <c r="Y57" s="3146"/>
    </row>
    <row r="58" spans="1:25" ht="67.5">
      <c r="A58" s="2876"/>
      <c r="B58" s="2876"/>
      <c r="C58" s="2876"/>
      <c r="D58" s="2876"/>
      <c r="E58" s="417" t="s">
        <v>2537</v>
      </c>
      <c r="F58" s="466"/>
      <c r="G58" s="213"/>
      <c r="H58" s="466"/>
      <c r="I58" s="213" t="s">
        <v>2538</v>
      </c>
      <c r="J58" s="863" t="s">
        <v>2539</v>
      </c>
      <c r="K58" s="445">
        <v>1</v>
      </c>
      <c r="L58" s="984">
        <v>0.32</v>
      </c>
      <c r="M58" s="413">
        <v>0</v>
      </c>
      <c r="N58" s="984">
        <v>0</v>
      </c>
      <c r="O58" s="2876"/>
      <c r="P58" s="466">
        <v>21453756</v>
      </c>
      <c r="Q58" s="466">
        <v>21453756</v>
      </c>
      <c r="R58" s="466">
        <v>0</v>
      </c>
      <c r="S58" s="466">
        <v>0</v>
      </c>
      <c r="T58" s="2253">
        <f t="shared" ref="T58:U58" si="29">IF(Q58=0,0,R58/Q58)</f>
        <v>0</v>
      </c>
      <c r="U58" s="2253">
        <f t="shared" si="29"/>
        <v>0</v>
      </c>
      <c r="V58" s="453"/>
      <c r="W58" s="889"/>
      <c r="X58" s="213"/>
      <c r="Y58" s="3147"/>
    </row>
    <row r="59" spans="1:25" ht="33">
      <c r="A59" s="326"/>
      <c r="B59" s="252">
        <v>5202004</v>
      </c>
      <c r="C59" s="252" t="s">
        <v>102</v>
      </c>
      <c r="D59" s="434" t="s">
        <v>2144</v>
      </c>
      <c r="E59" s="417"/>
      <c r="F59" s="466"/>
      <c r="G59" s="213"/>
      <c r="H59" s="466"/>
      <c r="I59" s="213"/>
      <c r="J59" s="863"/>
      <c r="K59" s="445"/>
      <c r="L59" s="984"/>
      <c r="M59" s="413"/>
      <c r="N59" s="984"/>
      <c r="O59" s="984"/>
      <c r="P59" s="466"/>
      <c r="Q59" s="466"/>
      <c r="R59" s="466"/>
      <c r="S59" s="466"/>
      <c r="T59" s="417"/>
      <c r="U59" s="417"/>
      <c r="V59" s="453"/>
      <c r="W59" s="889"/>
      <c r="X59" s="213"/>
      <c r="Y59" s="883"/>
    </row>
    <row r="60" spans="1:25" ht="63.75">
      <c r="A60" s="326"/>
      <c r="B60" s="240">
        <v>52020040006</v>
      </c>
      <c r="C60" s="240" t="s">
        <v>103</v>
      </c>
      <c r="D60" s="235" t="s">
        <v>2540</v>
      </c>
      <c r="E60" s="417"/>
      <c r="F60" s="466">
        <v>0</v>
      </c>
      <c r="G60" s="213"/>
      <c r="H60" s="466">
        <f>H61</f>
        <v>0</v>
      </c>
      <c r="I60" s="213"/>
      <c r="J60" s="863"/>
      <c r="K60" s="445">
        <f>K61</f>
        <v>8</v>
      </c>
      <c r="L60" s="984"/>
      <c r="M60" s="413"/>
      <c r="N60" s="984"/>
      <c r="O60" s="984"/>
      <c r="P60" s="466"/>
      <c r="Q60" s="466"/>
      <c r="R60" s="466"/>
      <c r="S60" s="466"/>
      <c r="T60" s="417"/>
      <c r="U60" s="417"/>
      <c r="V60" s="453"/>
      <c r="W60" s="889"/>
      <c r="X60" s="213"/>
      <c r="Y60" s="883"/>
    </row>
    <row r="61" spans="1:25">
      <c r="A61" s="2823">
        <v>4148</v>
      </c>
      <c r="B61" s="2823"/>
      <c r="C61" s="2823" t="s">
        <v>109</v>
      </c>
      <c r="D61" s="3027" t="s">
        <v>2541</v>
      </c>
      <c r="E61" s="863" t="s">
        <v>2542</v>
      </c>
      <c r="F61" s="466"/>
      <c r="G61" s="213"/>
      <c r="H61" s="466">
        <f>H62+H63</f>
        <v>0</v>
      </c>
      <c r="I61" s="213"/>
      <c r="J61" s="863"/>
      <c r="K61" s="445">
        <f>K63</f>
        <v>8</v>
      </c>
      <c r="L61" s="984">
        <f>SUM(L62:L63)</f>
        <v>1</v>
      </c>
      <c r="M61" s="413"/>
      <c r="N61" s="984">
        <f>SUM(N62:N63)</f>
        <v>0.11</v>
      </c>
      <c r="O61" s="3156">
        <f>IF(Q61&gt;0,N61,"na")</f>
        <v>0.11</v>
      </c>
      <c r="P61" s="466">
        <f t="shared" ref="P61:S61" si="30">SUM(P62:P63)</f>
        <v>352466280</v>
      </c>
      <c r="Q61" s="466">
        <f t="shared" si="30"/>
        <v>352466280</v>
      </c>
      <c r="R61" s="466">
        <f t="shared" si="30"/>
        <v>50803380</v>
      </c>
      <c r="S61" s="466">
        <f t="shared" si="30"/>
        <v>40154000</v>
      </c>
      <c r="T61" s="2253">
        <f t="shared" ref="T61:U63" si="31">IF(Q61=0,0,R61/Q61)</f>
        <v>0.14413685189970513</v>
      </c>
      <c r="U61" s="2253">
        <f t="shared" si="31"/>
        <v>0.79038048255844395</v>
      </c>
      <c r="V61" s="453"/>
      <c r="W61" s="889"/>
      <c r="X61" s="2260"/>
      <c r="Y61" s="2841" t="s">
        <v>2474</v>
      </c>
    </row>
    <row r="62" spans="1:25" ht="54">
      <c r="A62" s="2875"/>
      <c r="B62" s="2875"/>
      <c r="C62" s="2875"/>
      <c r="D62" s="2875"/>
      <c r="E62" s="417" t="s">
        <v>2543</v>
      </c>
      <c r="F62" s="466"/>
      <c r="G62" s="880"/>
      <c r="H62" s="466"/>
      <c r="I62" s="213" t="s">
        <v>2544</v>
      </c>
      <c r="J62" s="213" t="s">
        <v>2459</v>
      </c>
      <c r="K62" s="445">
        <v>1</v>
      </c>
      <c r="L62" s="984">
        <v>0.1</v>
      </c>
      <c r="M62" s="413">
        <v>0</v>
      </c>
      <c r="N62" s="984">
        <v>0</v>
      </c>
      <c r="O62" s="2875"/>
      <c r="P62" s="466">
        <v>20516000</v>
      </c>
      <c r="Q62" s="466">
        <v>20516000</v>
      </c>
      <c r="R62" s="466">
        <v>0</v>
      </c>
      <c r="S62" s="466">
        <v>0</v>
      </c>
      <c r="T62" s="2253">
        <f t="shared" si="31"/>
        <v>0</v>
      </c>
      <c r="U62" s="2253">
        <f t="shared" si="31"/>
        <v>0</v>
      </c>
      <c r="V62" s="453"/>
      <c r="W62" s="889"/>
      <c r="X62" s="213"/>
      <c r="Y62" s="3146"/>
    </row>
    <row r="63" spans="1:25" ht="135">
      <c r="A63" s="2876"/>
      <c r="B63" s="2876"/>
      <c r="C63" s="2876"/>
      <c r="D63" s="2876"/>
      <c r="E63" s="417" t="s">
        <v>2545</v>
      </c>
      <c r="F63" s="466"/>
      <c r="G63" s="265" t="s">
        <v>2540</v>
      </c>
      <c r="H63" s="2282">
        <v>0</v>
      </c>
      <c r="I63" s="213" t="s">
        <v>2546</v>
      </c>
      <c r="J63" s="213" t="s">
        <v>2547</v>
      </c>
      <c r="K63" s="445">
        <v>8</v>
      </c>
      <c r="L63" s="984">
        <v>0.9</v>
      </c>
      <c r="M63" s="413">
        <v>0</v>
      </c>
      <c r="N63" s="984">
        <v>0.11</v>
      </c>
      <c r="O63" s="2876"/>
      <c r="P63" s="466">
        <v>331950280</v>
      </c>
      <c r="Q63" s="466">
        <v>331950280</v>
      </c>
      <c r="R63" s="466">
        <v>50803380</v>
      </c>
      <c r="S63" s="466">
        <v>40154000</v>
      </c>
      <c r="T63" s="2253">
        <f t="shared" si="31"/>
        <v>0.15304514880963499</v>
      </c>
      <c r="U63" s="2253">
        <f t="shared" si="31"/>
        <v>0.79038048255844395</v>
      </c>
      <c r="V63" s="453">
        <v>45340</v>
      </c>
      <c r="W63" s="889">
        <v>45596</v>
      </c>
      <c r="X63" s="213" t="s">
        <v>5323</v>
      </c>
      <c r="Y63" s="3147"/>
    </row>
    <row r="64" spans="1:25" ht="82.5">
      <c r="A64" s="326"/>
      <c r="B64" s="252">
        <v>5202005</v>
      </c>
      <c r="C64" s="252" t="s">
        <v>102</v>
      </c>
      <c r="D64" s="434" t="s">
        <v>2548</v>
      </c>
      <c r="E64" s="417"/>
      <c r="F64" s="466"/>
      <c r="G64" s="213"/>
      <c r="H64" s="466"/>
      <c r="I64" s="213"/>
      <c r="J64" s="863"/>
      <c r="K64" s="445"/>
      <c r="L64" s="984"/>
      <c r="M64" s="413"/>
      <c r="N64" s="984"/>
      <c r="O64" s="984"/>
      <c r="P64" s="466"/>
      <c r="Q64" s="466"/>
      <c r="R64" s="466"/>
      <c r="S64" s="466"/>
      <c r="T64" s="417"/>
      <c r="U64" s="417"/>
      <c r="V64" s="453"/>
      <c r="W64" s="889"/>
      <c r="X64" s="213"/>
      <c r="Y64" s="883"/>
    </row>
    <row r="65" spans="1:25" ht="38.25">
      <c r="A65" s="326"/>
      <c r="B65" s="240">
        <v>52020050005</v>
      </c>
      <c r="C65" s="240" t="s">
        <v>103</v>
      </c>
      <c r="D65" s="235" t="s">
        <v>2549</v>
      </c>
      <c r="E65" s="417"/>
      <c r="F65" s="466">
        <v>0</v>
      </c>
      <c r="G65" s="213"/>
      <c r="H65" s="466">
        <f>H66+H70</f>
        <v>0</v>
      </c>
      <c r="I65" s="213"/>
      <c r="J65" s="863"/>
      <c r="K65" s="463">
        <f>K66</f>
        <v>2205</v>
      </c>
      <c r="L65" s="984"/>
      <c r="M65" s="413"/>
      <c r="N65" s="984"/>
      <c r="O65" s="984"/>
      <c r="P65" s="466"/>
      <c r="Q65" s="466"/>
      <c r="R65" s="466"/>
      <c r="S65" s="466"/>
      <c r="T65" s="417"/>
      <c r="U65" s="417"/>
      <c r="V65" s="453"/>
      <c r="W65" s="889"/>
      <c r="X65" s="213"/>
      <c r="Y65" s="883"/>
    </row>
    <row r="66" spans="1:25">
      <c r="A66" s="2823">
        <v>4148</v>
      </c>
      <c r="B66" s="2823"/>
      <c r="C66" s="2823" t="s">
        <v>109</v>
      </c>
      <c r="D66" s="3027" t="s">
        <v>2550</v>
      </c>
      <c r="E66" s="863" t="s">
        <v>2551</v>
      </c>
      <c r="F66" s="466"/>
      <c r="G66" s="213"/>
      <c r="H66" s="466">
        <f>SUM(H67:H68)</f>
        <v>0</v>
      </c>
      <c r="I66" s="213"/>
      <c r="J66" s="863"/>
      <c r="K66" s="445">
        <f>K67+K68</f>
        <v>2205</v>
      </c>
      <c r="L66" s="984">
        <f>SUM(L67:L69)</f>
        <v>1</v>
      </c>
      <c r="M66" s="413"/>
      <c r="N66" s="984">
        <f>SUM(N67:N69)</f>
        <v>8.5999999999999993E-2</v>
      </c>
      <c r="O66" s="3156">
        <f>IF(Q66&gt;0,N66,"na")</f>
        <v>8.5999999999999993E-2</v>
      </c>
      <c r="P66" s="466">
        <f t="shared" ref="P66:S66" si="32">SUM(P67:P69)</f>
        <v>663080197</v>
      </c>
      <c r="Q66" s="466">
        <f t="shared" si="32"/>
        <v>663080197</v>
      </c>
      <c r="R66" s="466">
        <f t="shared" si="32"/>
        <v>50628000</v>
      </c>
      <c r="S66" s="466">
        <f t="shared" si="32"/>
        <v>27192000</v>
      </c>
      <c r="T66" s="2253">
        <f t="shared" ref="T66:U69" si="33">IF(Q66=0,0,R66/Q66)</f>
        <v>7.6352755261065358E-2</v>
      </c>
      <c r="U66" s="2253">
        <f t="shared" si="33"/>
        <v>0.5370940981275184</v>
      </c>
      <c r="V66" s="453"/>
      <c r="W66" s="889"/>
      <c r="X66" s="2260"/>
      <c r="Y66" s="2841" t="s">
        <v>2474</v>
      </c>
    </row>
    <row r="67" spans="1:25" ht="54">
      <c r="A67" s="2875"/>
      <c r="B67" s="2875"/>
      <c r="C67" s="2875"/>
      <c r="D67" s="2875"/>
      <c r="E67" s="417" t="s">
        <v>2552</v>
      </c>
      <c r="F67" s="466"/>
      <c r="G67" s="880" t="s">
        <v>2549</v>
      </c>
      <c r="H67" s="466">
        <v>0</v>
      </c>
      <c r="I67" s="213" t="s">
        <v>2553</v>
      </c>
      <c r="J67" s="863" t="s">
        <v>2519</v>
      </c>
      <c r="K67" s="445">
        <v>1105</v>
      </c>
      <c r="L67" s="984">
        <v>0.12</v>
      </c>
      <c r="M67" s="413">
        <v>0</v>
      </c>
      <c r="N67" s="984">
        <v>0</v>
      </c>
      <c r="O67" s="2875"/>
      <c r="P67" s="466">
        <v>81263419</v>
      </c>
      <c r="Q67" s="466">
        <v>81263419</v>
      </c>
      <c r="R67" s="466">
        <v>0</v>
      </c>
      <c r="S67" s="466">
        <v>0</v>
      </c>
      <c r="T67" s="2253">
        <f t="shared" si="33"/>
        <v>0</v>
      </c>
      <c r="U67" s="2253">
        <f t="shared" si="33"/>
        <v>0</v>
      </c>
      <c r="V67" s="453"/>
      <c r="W67" s="889"/>
      <c r="X67" s="213"/>
      <c r="Y67" s="3146"/>
    </row>
    <row r="68" spans="1:25" ht="54">
      <c r="A68" s="2875"/>
      <c r="B68" s="2875"/>
      <c r="C68" s="2875"/>
      <c r="D68" s="2875"/>
      <c r="E68" s="417" t="s">
        <v>2554</v>
      </c>
      <c r="F68" s="466"/>
      <c r="G68" s="265" t="s">
        <v>2549</v>
      </c>
      <c r="H68" s="2282">
        <v>0</v>
      </c>
      <c r="I68" s="213" t="s">
        <v>2555</v>
      </c>
      <c r="J68" s="863" t="s">
        <v>2556</v>
      </c>
      <c r="K68" s="445">
        <v>1100</v>
      </c>
      <c r="L68" s="984">
        <v>0.4</v>
      </c>
      <c r="M68" s="413">
        <v>0</v>
      </c>
      <c r="N68" s="984">
        <v>0</v>
      </c>
      <c r="O68" s="2875"/>
      <c r="P68" s="466">
        <v>270807315</v>
      </c>
      <c r="Q68" s="466">
        <v>270807315</v>
      </c>
      <c r="R68" s="466">
        <v>0</v>
      </c>
      <c r="S68" s="466">
        <v>0</v>
      </c>
      <c r="T68" s="2253">
        <f t="shared" si="33"/>
        <v>0</v>
      </c>
      <c r="U68" s="2253">
        <f t="shared" si="33"/>
        <v>0</v>
      </c>
      <c r="V68" s="453"/>
      <c r="W68" s="889"/>
      <c r="X68" s="213"/>
      <c r="Y68" s="3146"/>
    </row>
    <row r="69" spans="1:25" ht="108">
      <c r="A69" s="2876"/>
      <c r="B69" s="2876"/>
      <c r="C69" s="2876"/>
      <c r="D69" s="2876"/>
      <c r="E69" s="417" t="s">
        <v>2557</v>
      </c>
      <c r="F69" s="466"/>
      <c r="G69" s="213"/>
      <c r="H69" s="2282"/>
      <c r="I69" s="213" t="s">
        <v>2558</v>
      </c>
      <c r="J69" s="213" t="s">
        <v>2559</v>
      </c>
      <c r="K69" s="445">
        <v>8</v>
      </c>
      <c r="L69" s="984">
        <v>0.48</v>
      </c>
      <c r="M69" s="413">
        <v>0</v>
      </c>
      <c r="N69" s="984">
        <v>8.5999999999999993E-2</v>
      </c>
      <c r="O69" s="2876"/>
      <c r="P69" s="466">
        <v>311009463</v>
      </c>
      <c r="Q69" s="466">
        <v>311009463</v>
      </c>
      <c r="R69" s="466">
        <v>50628000</v>
      </c>
      <c r="S69" s="466">
        <v>27192000</v>
      </c>
      <c r="T69" s="2253">
        <f t="shared" si="33"/>
        <v>0.16278604358736184</v>
      </c>
      <c r="U69" s="2253">
        <f t="shared" si="33"/>
        <v>0.5370940981275184</v>
      </c>
      <c r="V69" s="453">
        <v>45341</v>
      </c>
      <c r="W69" s="889">
        <v>45596</v>
      </c>
      <c r="X69" s="213" t="s">
        <v>5324</v>
      </c>
      <c r="Y69" s="3147"/>
    </row>
    <row r="70" spans="1:25">
      <c r="A70" s="326"/>
      <c r="B70" s="252">
        <v>5202006</v>
      </c>
      <c r="C70" s="252" t="s">
        <v>102</v>
      </c>
      <c r="D70" s="434" t="s">
        <v>1600</v>
      </c>
      <c r="E70" s="417"/>
      <c r="F70" s="466"/>
      <c r="G70" s="213"/>
      <c r="H70" s="466"/>
      <c r="I70" s="213"/>
      <c r="J70" s="863"/>
      <c r="K70" s="445"/>
      <c r="L70" s="984"/>
      <c r="M70" s="413"/>
      <c r="N70" s="984"/>
      <c r="O70" s="984"/>
      <c r="P70" s="466"/>
      <c r="Q70" s="466"/>
      <c r="R70" s="466"/>
      <c r="S70" s="466"/>
      <c r="T70" s="417"/>
      <c r="U70" s="417"/>
      <c r="V70" s="453"/>
      <c r="W70" s="889"/>
      <c r="X70" s="213"/>
      <c r="Y70" s="883"/>
    </row>
    <row r="71" spans="1:25" ht="38.25">
      <c r="A71" s="326"/>
      <c r="B71" s="240">
        <v>52020060007</v>
      </c>
      <c r="C71" s="240" t="s">
        <v>103</v>
      </c>
      <c r="D71" s="235" t="s">
        <v>2560</v>
      </c>
      <c r="E71" s="417"/>
      <c r="F71" s="466">
        <v>0</v>
      </c>
      <c r="G71" s="213"/>
      <c r="H71" s="466">
        <f>H72</f>
        <v>0</v>
      </c>
      <c r="I71" s="213"/>
      <c r="J71" s="863"/>
      <c r="K71" s="445">
        <f>K72</f>
        <v>2</v>
      </c>
      <c r="L71" s="984"/>
      <c r="M71" s="413"/>
      <c r="N71" s="984"/>
      <c r="O71" s="984"/>
      <c r="P71" s="466"/>
      <c r="Q71" s="466"/>
      <c r="R71" s="466"/>
      <c r="S71" s="466"/>
      <c r="T71" s="417"/>
      <c r="U71" s="417"/>
      <c r="V71" s="453"/>
      <c r="W71" s="889"/>
      <c r="X71" s="213"/>
      <c r="Y71" s="883"/>
    </row>
    <row r="72" spans="1:25">
      <c r="A72" s="2823">
        <v>4148</v>
      </c>
      <c r="B72" s="2823"/>
      <c r="C72" s="2823" t="s">
        <v>109</v>
      </c>
      <c r="D72" s="3027" t="s">
        <v>2561</v>
      </c>
      <c r="E72" s="863" t="s">
        <v>2562</v>
      </c>
      <c r="F72" s="466"/>
      <c r="G72" s="213"/>
      <c r="H72" s="466">
        <f>H74</f>
        <v>0</v>
      </c>
      <c r="I72" s="213"/>
      <c r="J72" s="863"/>
      <c r="K72" s="445">
        <f>K74</f>
        <v>2</v>
      </c>
      <c r="L72" s="984">
        <f>SUM(L73:L74)</f>
        <v>1</v>
      </c>
      <c r="M72" s="413"/>
      <c r="N72" s="984">
        <f>SUM(N73:N74)</f>
        <v>4.5000000000000005E-2</v>
      </c>
      <c r="O72" s="3156">
        <f>IF(Q72&gt;0,N72,"na")</f>
        <v>4.5000000000000005E-2</v>
      </c>
      <c r="P72" s="466">
        <f t="shared" ref="P72:S72" si="34">SUM(P73:P74)</f>
        <v>141045273</v>
      </c>
      <c r="Q72" s="466">
        <f t="shared" si="34"/>
        <v>1241045273</v>
      </c>
      <c r="R72" s="466">
        <f t="shared" si="34"/>
        <v>1228231473</v>
      </c>
      <c r="S72" s="466">
        <f t="shared" si="34"/>
        <v>25392000</v>
      </c>
      <c r="T72" s="2253">
        <f t="shared" ref="T72:U74" si="35">IF(Q72=0,0,R72/Q72)</f>
        <v>0.98967499391136238</v>
      </c>
      <c r="U72" s="2253">
        <f t="shared" si="35"/>
        <v>2.0673627535353019E-2</v>
      </c>
      <c r="V72" s="453"/>
      <c r="W72" s="889"/>
      <c r="X72" s="2260"/>
      <c r="Y72" s="2841" t="s">
        <v>2453</v>
      </c>
    </row>
    <row r="73" spans="1:25" ht="175.5">
      <c r="A73" s="2875"/>
      <c r="B73" s="2875"/>
      <c r="C73" s="2875"/>
      <c r="D73" s="2875"/>
      <c r="E73" s="417" t="s">
        <v>2563</v>
      </c>
      <c r="F73" s="466"/>
      <c r="G73" s="265"/>
      <c r="H73" s="445"/>
      <c r="I73" s="213" t="s">
        <v>5325</v>
      </c>
      <c r="J73" s="863" t="s">
        <v>106</v>
      </c>
      <c r="K73" s="445">
        <v>200</v>
      </c>
      <c r="L73" s="984">
        <v>0.3</v>
      </c>
      <c r="M73" s="413">
        <v>0</v>
      </c>
      <c r="N73" s="984">
        <v>3.5000000000000003E-2</v>
      </c>
      <c r="O73" s="2875"/>
      <c r="P73" s="466">
        <v>38205800</v>
      </c>
      <c r="Q73" s="466">
        <v>38205800</v>
      </c>
      <c r="R73" s="466">
        <v>25392000</v>
      </c>
      <c r="S73" s="466">
        <v>25392000</v>
      </c>
      <c r="T73" s="2253">
        <f t="shared" si="35"/>
        <v>0.66461113234116287</v>
      </c>
      <c r="U73" s="2253">
        <f t="shared" si="35"/>
        <v>1</v>
      </c>
      <c r="V73" s="453">
        <v>45385</v>
      </c>
      <c r="W73" s="889">
        <v>45412</v>
      </c>
      <c r="X73" s="1035" t="s">
        <v>5326</v>
      </c>
      <c r="Y73" s="3146"/>
    </row>
    <row r="74" spans="1:25" ht="108">
      <c r="A74" s="2876"/>
      <c r="B74" s="2876"/>
      <c r="C74" s="2876"/>
      <c r="D74" s="2876"/>
      <c r="E74" s="417" t="s">
        <v>2564</v>
      </c>
      <c r="F74" s="466"/>
      <c r="G74" s="265" t="s">
        <v>2560</v>
      </c>
      <c r="H74" s="466">
        <v>0</v>
      </c>
      <c r="I74" s="1035" t="s">
        <v>2565</v>
      </c>
      <c r="J74" s="213" t="s">
        <v>2459</v>
      </c>
      <c r="K74" s="445">
        <v>2</v>
      </c>
      <c r="L74" s="984">
        <v>0.7</v>
      </c>
      <c r="M74" s="413">
        <v>0</v>
      </c>
      <c r="N74" s="984">
        <v>0.01</v>
      </c>
      <c r="O74" s="2876"/>
      <c r="P74" s="466">
        <v>102839473</v>
      </c>
      <c r="Q74" s="466">
        <v>1202839473</v>
      </c>
      <c r="R74" s="466">
        <v>1202839473</v>
      </c>
      <c r="S74" s="466">
        <v>0</v>
      </c>
      <c r="T74" s="2253">
        <f t="shared" si="35"/>
        <v>1</v>
      </c>
      <c r="U74" s="2253">
        <f t="shared" si="35"/>
        <v>0</v>
      </c>
      <c r="V74" s="453">
        <v>45456</v>
      </c>
      <c r="W74" s="889">
        <v>45611</v>
      </c>
      <c r="X74" s="213" t="s">
        <v>5327</v>
      </c>
      <c r="Y74" s="3147"/>
    </row>
    <row r="75" spans="1:25" ht="51">
      <c r="A75" s="326"/>
      <c r="B75" s="240">
        <v>52020060008</v>
      </c>
      <c r="C75" s="240" t="s">
        <v>103</v>
      </c>
      <c r="D75" s="235" t="s">
        <v>2566</v>
      </c>
      <c r="E75" s="417"/>
      <c r="F75" s="466">
        <v>0</v>
      </c>
      <c r="G75" s="213"/>
      <c r="H75" s="466">
        <f>H76</f>
        <v>0</v>
      </c>
      <c r="I75" s="213"/>
      <c r="J75" s="863"/>
      <c r="K75" s="445">
        <f>K76</f>
        <v>8</v>
      </c>
      <c r="L75" s="984"/>
      <c r="M75" s="413"/>
      <c r="N75" s="984"/>
      <c r="O75" s="984"/>
      <c r="P75" s="466"/>
      <c r="Q75" s="466"/>
      <c r="R75" s="466"/>
      <c r="S75" s="466"/>
      <c r="T75" s="2283"/>
      <c r="U75" s="2283"/>
      <c r="V75" s="453"/>
      <c r="W75" s="889"/>
      <c r="X75" s="213"/>
      <c r="Y75" s="883"/>
    </row>
    <row r="76" spans="1:25">
      <c r="A76" s="2823">
        <v>4148</v>
      </c>
      <c r="B76" s="2823"/>
      <c r="C76" s="2823" t="s">
        <v>109</v>
      </c>
      <c r="D76" s="3027" t="s">
        <v>2567</v>
      </c>
      <c r="E76" s="863" t="s">
        <v>2568</v>
      </c>
      <c r="F76" s="466"/>
      <c r="G76" s="213"/>
      <c r="H76" s="466">
        <f>H77+H78</f>
        <v>0</v>
      </c>
      <c r="I76" s="213"/>
      <c r="J76" s="863"/>
      <c r="K76" s="445">
        <f>K77+K78</f>
        <v>8</v>
      </c>
      <c r="L76" s="984">
        <f>SUM(L77:L78)</f>
        <v>1</v>
      </c>
      <c r="M76" s="413"/>
      <c r="N76" s="984">
        <f>SUM(N77:N78)</f>
        <v>0.11600000000000001</v>
      </c>
      <c r="O76" s="3156">
        <f>IF(Q76&gt;0,N76,"na")</f>
        <v>0.11600000000000001</v>
      </c>
      <c r="P76" s="466">
        <f t="shared" ref="P76:S76" si="36">SUM(P77:P78)</f>
        <v>165850046</v>
      </c>
      <c r="Q76" s="466">
        <f t="shared" si="36"/>
        <v>294588766</v>
      </c>
      <c r="R76" s="466">
        <f t="shared" si="36"/>
        <v>49266620</v>
      </c>
      <c r="S76" s="466">
        <f t="shared" si="36"/>
        <v>16168000</v>
      </c>
      <c r="T76" s="2253">
        <f t="shared" ref="T76:U78" si="37">IF(Q76=0,0,R76/Q76)</f>
        <v>0.16723862443552923</v>
      </c>
      <c r="U76" s="2253">
        <f t="shared" si="37"/>
        <v>0.32817351789101828</v>
      </c>
      <c r="V76" s="453"/>
      <c r="W76" s="889"/>
      <c r="X76" s="2260"/>
      <c r="Y76" s="2841" t="s">
        <v>2474</v>
      </c>
    </row>
    <row r="77" spans="1:25" ht="94.5">
      <c r="A77" s="2875"/>
      <c r="B77" s="2875"/>
      <c r="C77" s="2875"/>
      <c r="D77" s="2875"/>
      <c r="E77" s="417" t="s">
        <v>2569</v>
      </c>
      <c r="F77" s="466"/>
      <c r="G77" s="265" t="s">
        <v>2566</v>
      </c>
      <c r="H77" s="466">
        <v>0</v>
      </c>
      <c r="I77" s="213" t="s">
        <v>5328</v>
      </c>
      <c r="J77" s="213" t="s">
        <v>2459</v>
      </c>
      <c r="K77" s="445">
        <v>7</v>
      </c>
      <c r="L77" s="984">
        <v>0.95</v>
      </c>
      <c r="M77" s="413">
        <v>0</v>
      </c>
      <c r="N77" s="984">
        <v>0.11600000000000001</v>
      </c>
      <c r="O77" s="2875"/>
      <c r="P77" s="466">
        <v>158162546</v>
      </c>
      <c r="Q77" s="466">
        <v>286901266</v>
      </c>
      <c r="R77" s="466">
        <v>49266620</v>
      </c>
      <c r="S77" s="466">
        <v>16168000</v>
      </c>
      <c r="T77" s="2253">
        <f t="shared" si="37"/>
        <v>0.17171977205565903</v>
      </c>
      <c r="U77" s="2253">
        <f t="shared" si="37"/>
        <v>0.32817351789101828</v>
      </c>
      <c r="V77" s="453">
        <v>45376</v>
      </c>
      <c r="W77" s="889">
        <v>45596</v>
      </c>
      <c r="X77" s="213" t="s">
        <v>5329</v>
      </c>
      <c r="Y77" s="3146"/>
    </row>
    <row r="78" spans="1:25" ht="81">
      <c r="A78" s="2876"/>
      <c r="B78" s="2876"/>
      <c r="C78" s="2876"/>
      <c r="D78" s="2876"/>
      <c r="E78" s="417" t="s">
        <v>2570</v>
      </c>
      <c r="F78" s="466"/>
      <c r="G78" s="265" t="s">
        <v>2566</v>
      </c>
      <c r="H78" s="466">
        <v>0</v>
      </c>
      <c r="I78" s="213" t="s">
        <v>2571</v>
      </c>
      <c r="J78" s="863" t="s">
        <v>2539</v>
      </c>
      <c r="K78" s="445">
        <v>1</v>
      </c>
      <c r="L78" s="984">
        <v>0.05</v>
      </c>
      <c r="M78" s="413">
        <v>0</v>
      </c>
      <c r="N78" s="984">
        <v>0</v>
      </c>
      <c r="O78" s="2876"/>
      <c r="P78" s="466">
        <v>7687500</v>
      </c>
      <c r="Q78" s="466">
        <v>7687500</v>
      </c>
      <c r="R78" s="466">
        <v>0</v>
      </c>
      <c r="S78" s="466">
        <v>0</v>
      </c>
      <c r="T78" s="2253">
        <f t="shared" si="37"/>
        <v>0</v>
      </c>
      <c r="U78" s="2253">
        <f t="shared" si="37"/>
        <v>0</v>
      </c>
      <c r="V78" s="453"/>
      <c r="W78" s="889"/>
      <c r="X78" s="213"/>
      <c r="Y78" s="3146"/>
    </row>
    <row r="79" spans="1:25" ht="49.5">
      <c r="A79" s="326"/>
      <c r="B79" s="252">
        <v>5202007</v>
      </c>
      <c r="C79" s="252" t="s">
        <v>102</v>
      </c>
      <c r="D79" s="434" t="s">
        <v>2572</v>
      </c>
      <c r="E79" s="417"/>
      <c r="F79" s="466"/>
      <c r="G79" s="213"/>
      <c r="H79" s="466"/>
      <c r="I79" s="213"/>
      <c r="J79" s="863"/>
      <c r="K79" s="445"/>
      <c r="L79" s="984"/>
      <c r="M79" s="413"/>
      <c r="N79" s="984"/>
      <c r="O79" s="984"/>
      <c r="P79" s="466"/>
      <c r="Q79" s="466"/>
      <c r="R79" s="466"/>
      <c r="S79" s="466"/>
      <c r="T79" s="2283"/>
      <c r="U79" s="2283"/>
      <c r="V79" s="453"/>
      <c r="W79" s="889"/>
      <c r="X79" s="213"/>
      <c r="Y79" s="883"/>
    </row>
    <row r="80" spans="1:25" ht="51">
      <c r="A80" s="326"/>
      <c r="B80" s="240">
        <v>52020070007</v>
      </c>
      <c r="C80" s="240" t="s">
        <v>103</v>
      </c>
      <c r="D80" s="235" t="s">
        <v>2573</v>
      </c>
      <c r="E80" s="417"/>
      <c r="F80" s="466">
        <v>0</v>
      </c>
      <c r="G80" s="213"/>
      <c r="H80" s="466">
        <f t="shared" ref="H80:H81" si="38">H81</f>
        <v>0</v>
      </c>
      <c r="I80" s="213"/>
      <c r="J80" s="863"/>
      <c r="K80" s="445">
        <f>K81</f>
        <v>7</v>
      </c>
      <c r="L80" s="984"/>
      <c r="M80" s="413"/>
      <c r="N80" s="984"/>
      <c r="O80" s="984"/>
      <c r="P80" s="466"/>
      <c r="Q80" s="466"/>
      <c r="R80" s="466"/>
      <c r="S80" s="466"/>
      <c r="T80" s="417"/>
      <c r="U80" s="417"/>
      <c r="V80" s="453"/>
      <c r="W80" s="889"/>
      <c r="X80" s="213"/>
      <c r="Y80" s="883"/>
    </row>
    <row r="81" spans="1:25">
      <c r="A81" s="2823">
        <v>4148</v>
      </c>
      <c r="B81" s="2823"/>
      <c r="C81" s="2823" t="s">
        <v>109</v>
      </c>
      <c r="D81" s="3027" t="s">
        <v>2574</v>
      </c>
      <c r="E81" s="863" t="s">
        <v>2575</v>
      </c>
      <c r="F81" s="466"/>
      <c r="G81" s="213"/>
      <c r="H81" s="466">
        <f t="shared" si="38"/>
        <v>0</v>
      </c>
      <c r="I81" s="213"/>
      <c r="J81" s="863"/>
      <c r="K81" s="445">
        <v>7</v>
      </c>
      <c r="L81" s="984">
        <f>SUM(L82)</f>
        <v>1</v>
      </c>
      <c r="M81" s="413"/>
      <c r="N81" s="984">
        <f>SUM(N82)</f>
        <v>0.71</v>
      </c>
      <c r="O81" s="3156">
        <f>IF(Q81&gt;0,N81,"na")</f>
        <v>0.71</v>
      </c>
      <c r="P81" s="466">
        <f t="shared" ref="P81:S81" si="39">SUM(P82)</f>
        <v>344659435</v>
      </c>
      <c r="Q81" s="466">
        <f t="shared" si="39"/>
        <v>417724553</v>
      </c>
      <c r="R81" s="466">
        <f t="shared" si="39"/>
        <v>314075435</v>
      </c>
      <c r="S81" s="466">
        <f t="shared" si="39"/>
        <v>17132000</v>
      </c>
      <c r="T81" s="2253">
        <f t="shared" ref="T81:U82" si="40">IF(Q81=0,0,R81/Q81)</f>
        <v>0.75187209548584999</v>
      </c>
      <c r="U81" s="2253">
        <f t="shared" si="40"/>
        <v>5.4547405148065782E-2</v>
      </c>
      <c r="V81" s="453"/>
      <c r="W81" s="889"/>
      <c r="X81" s="2260"/>
      <c r="Y81" s="2841" t="s">
        <v>2474</v>
      </c>
    </row>
    <row r="82" spans="1:25" ht="81">
      <c r="A82" s="2876"/>
      <c r="B82" s="2876"/>
      <c r="C82" s="2876"/>
      <c r="D82" s="2876"/>
      <c r="E82" s="417" t="s">
        <v>2576</v>
      </c>
      <c r="F82" s="466"/>
      <c r="G82" s="265" t="s">
        <v>2573</v>
      </c>
      <c r="H82" s="466">
        <v>0</v>
      </c>
      <c r="I82" s="213" t="s">
        <v>2577</v>
      </c>
      <c r="J82" s="213" t="s">
        <v>2578</v>
      </c>
      <c r="K82" s="445">
        <v>1</v>
      </c>
      <c r="L82" s="984">
        <v>1</v>
      </c>
      <c r="M82" s="413">
        <v>1</v>
      </c>
      <c r="N82" s="984">
        <v>0.71</v>
      </c>
      <c r="O82" s="2876"/>
      <c r="P82" s="466">
        <v>344659435</v>
      </c>
      <c r="Q82" s="466">
        <v>417724553</v>
      </c>
      <c r="R82" s="466">
        <v>314075435</v>
      </c>
      <c r="S82" s="466">
        <v>17132000</v>
      </c>
      <c r="T82" s="2253">
        <f t="shared" si="40"/>
        <v>0.75187209548584999</v>
      </c>
      <c r="U82" s="2253">
        <f t="shared" si="40"/>
        <v>5.4547405148065782E-2</v>
      </c>
      <c r="V82" s="453">
        <v>45355</v>
      </c>
      <c r="W82" s="889">
        <v>45596</v>
      </c>
      <c r="X82" s="213" t="s">
        <v>5330</v>
      </c>
      <c r="Y82" s="3146"/>
    </row>
    <row r="83" spans="1:25">
      <c r="A83" s="326"/>
      <c r="B83" s="252">
        <v>5203</v>
      </c>
      <c r="C83" s="252" t="s">
        <v>101</v>
      </c>
      <c r="D83" s="434" t="s">
        <v>149</v>
      </c>
      <c r="E83" s="417"/>
      <c r="F83" s="466"/>
      <c r="G83" s="213"/>
      <c r="H83" s="466"/>
      <c r="I83" s="213"/>
      <c r="J83" s="863"/>
      <c r="K83" s="445"/>
      <c r="L83" s="984"/>
      <c r="M83" s="413"/>
      <c r="N83" s="984"/>
      <c r="O83" s="984"/>
      <c r="P83" s="466"/>
      <c r="Q83" s="466"/>
      <c r="R83" s="466"/>
      <c r="S83" s="466"/>
      <c r="T83" s="417"/>
      <c r="U83" s="417"/>
      <c r="V83" s="453"/>
      <c r="W83" s="889"/>
      <c r="X83" s="213"/>
      <c r="Y83" s="883"/>
    </row>
    <row r="84" spans="1:25" ht="33">
      <c r="A84" s="326"/>
      <c r="B84" s="252">
        <v>5203007</v>
      </c>
      <c r="C84" s="252" t="s">
        <v>102</v>
      </c>
      <c r="D84" s="434" t="s">
        <v>2579</v>
      </c>
      <c r="E84" s="417"/>
      <c r="F84" s="466"/>
      <c r="G84" s="213"/>
      <c r="H84" s="466"/>
      <c r="I84" s="213"/>
      <c r="J84" s="863"/>
      <c r="K84" s="445"/>
      <c r="L84" s="984"/>
      <c r="M84" s="413"/>
      <c r="N84" s="984"/>
      <c r="O84" s="984"/>
      <c r="P84" s="466"/>
      <c r="Q84" s="466"/>
      <c r="R84" s="466"/>
      <c r="S84" s="466"/>
      <c r="T84" s="417"/>
      <c r="U84" s="417"/>
      <c r="V84" s="453"/>
      <c r="W84" s="889"/>
      <c r="X84" s="213"/>
      <c r="Y84" s="883"/>
    </row>
    <row r="85" spans="1:25" ht="25.5">
      <c r="A85" s="326"/>
      <c r="B85" s="240">
        <v>52030070004</v>
      </c>
      <c r="C85" s="240" t="s">
        <v>103</v>
      </c>
      <c r="D85" s="235" t="s">
        <v>2580</v>
      </c>
      <c r="E85" s="417"/>
      <c r="F85" s="466">
        <v>0</v>
      </c>
      <c r="G85" s="213"/>
      <c r="H85" s="466">
        <f>H86+H88+H90+H93+H95</f>
        <v>0</v>
      </c>
      <c r="I85" s="213"/>
      <c r="J85" s="863"/>
      <c r="K85" s="463">
        <f>K86+K88+K90+K93+K95</f>
        <v>196</v>
      </c>
      <c r="L85" s="984"/>
      <c r="M85" s="413"/>
      <c r="N85" s="984"/>
      <c r="O85" s="984"/>
      <c r="P85" s="466"/>
      <c r="Q85" s="466"/>
      <c r="R85" s="466"/>
      <c r="S85" s="466"/>
      <c r="T85" s="417"/>
      <c r="U85" s="417"/>
      <c r="V85" s="453"/>
      <c r="W85" s="889"/>
      <c r="X85" s="213"/>
      <c r="Y85" s="883"/>
    </row>
    <row r="86" spans="1:25">
      <c r="A86" s="2823">
        <v>4148</v>
      </c>
      <c r="B86" s="2823"/>
      <c r="C86" s="2823" t="s">
        <v>109</v>
      </c>
      <c r="D86" s="3027" t="s">
        <v>2581</v>
      </c>
      <c r="E86" s="863" t="s">
        <v>2582</v>
      </c>
      <c r="F86" s="466"/>
      <c r="G86" s="213"/>
      <c r="H86" s="466">
        <f>H87</f>
        <v>0</v>
      </c>
      <c r="I86" s="213"/>
      <c r="J86" s="863"/>
      <c r="K86" s="445">
        <f t="shared" ref="K86:L86" si="41">K87</f>
        <v>12</v>
      </c>
      <c r="L86" s="984">
        <f t="shared" si="41"/>
        <v>1</v>
      </c>
      <c r="M86" s="413"/>
      <c r="N86" s="984">
        <f>N87</f>
        <v>0</v>
      </c>
      <c r="O86" s="3156">
        <f>IF(Q86&gt;0,N86,"na")</f>
        <v>0</v>
      </c>
      <c r="P86" s="466">
        <f t="shared" ref="P86:S86" si="42">P87</f>
        <v>362673150</v>
      </c>
      <c r="Q86" s="466">
        <f t="shared" si="42"/>
        <v>362673150</v>
      </c>
      <c r="R86" s="466">
        <f t="shared" si="42"/>
        <v>0</v>
      </c>
      <c r="S86" s="466">
        <f t="shared" si="42"/>
        <v>0</v>
      </c>
      <c r="T86" s="2253">
        <f t="shared" ref="T86:U96" si="43">IF(Q86=0,0,R86/Q86)</f>
        <v>0</v>
      </c>
      <c r="U86" s="2253">
        <f t="shared" si="43"/>
        <v>0</v>
      </c>
      <c r="V86" s="453"/>
      <c r="W86" s="889"/>
      <c r="X86" s="2260"/>
      <c r="Y86" s="2841" t="s">
        <v>2453</v>
      </c>
    </row>
    <row r="87" spans="1:25" ht="54">
      <c r="A87" s="2876"/>
      <c r="B87" s="2876"/>
      <c r="C87" s="2876"/>
      <c r="D87" s="2876"/>
      <c r="E87" s="863" t="s">
        <v>2583</v>
      </c>
      <c r="F87" s="466"/>
      <c r="G87" s="213" t="s">
        <v>2580</v>
      </c>
      <c r="H87" s="466">
        <v>0</v>
      </c>
      <c r="I87" s="213" t="s">
        <v>2584</v>
      </c>
      <c r="J87" s="213" t="s">
        <v>2459</v>
      </c>
      <c r="K87" s="445">
        <v>12</v>
      </c>
      <c r="L87" s="984">
        <v>1</v>
      </c>
      <c r="M87" s="413">
        <v>0</v>
      </c>
      <c r="N87" s="984">
        <v>0</v>
      </c>
      <c r="O87" s="2876"/>
      <c r="P87" s="466">
        <v>362673150</v>
      </c>
      <c r="Q87" s="466">
        <v>362673150</v>
      </c>
      <c r="R87" s="466">
        <v>0</v>
      </c>
      <c r="S87" s="466">
        <v>0</v>
      </c>
      <c r="T87" s="2253">
        <f t="shared" si="43"/>
        <v>0</v>
      </c>
      <c r="U87" s="2253">
        <f t="shared" si="43"/>
        <v>0</v>
      </c>
      <c r="V87" s="453"/>
      <c r="W87" s="889"/>
      <c r="X87" s="2284"/>
      <c r="Y87" s="3147"/>
    </row>
    <row r="88" spans="1:25">
      <c r="A88" s="2823">
        <v>4148</v>
      </c>
      <c r="B88" s="2823"/>
      <c r="C88" s="2823" t="s">
        <v>109</v>
      </c>
      <c r="D88" s="3027" t="s">
        <v>2585</v>
      </c>
      <c r="E88" s="863" t="s">
        <v>2586</v>
      </c>
      <c r="F88" s="466"/>
      <c r="G88" s="213"/>
      <c r="H88" s="466">
        <f>H89</f>
        <v>0</v>
      </c>
      <c r="I88" s="213"/>
      <c r="J88" s="863"/>
      <c r="K88" s="445">
        <f t="shared" ref="K88:L88" si="44">K89</f>
        <v>1</v>
      </c>
      <c r="L88" s="984">
        <f t="shared" si="44"/>
        <v>1</v>
      </c>
      <c r="M88" s="413"/>
      <c r="N88" s="984">
        <f>N89</f>
        <v>0</v>
      </c>
      <c r="O88" s="3156">
        <f>IF(Q88&gt;0,N88,"na")</f>
        <v>0</v>
      </c>
      <c r="P88" s="466">
        <f t="shared" ref="P88:S88" si="45">P89</f>
        <v>70000000</v>
      </c>
      <c r="Q88" s="466">
        <f t="shared" si="45"/>
        <v>70000000</v>
      </c>
      <c r="R88" s="466">
        <f t="shared" si="45"/>
        <v>0</v>
      </c>
      <c r="S88" s="466">
        <f t="shared" si="45"/>
        <v>0</v>
      </c>
      <c r="T88" s="2253">
        <f t="shared" si="43"/>
        <v>0</v>
      </c>
      <c r="U88" s="2253">
        <f t="shared" si="43"/>
        <v>0</v>
      </c>
      <c r="V88" s="453"/>
      <c r="W88" s="889"/>
      <c r="X88" s="2260"/>
      <c r="Y88" s="2841" t="s">
        <v>2453</v>
      </c>
    </row>
    <row r="89" spans="1:25" ht="40.5">
      <c r="A89" s="2876"/>
      <c r="B89" s="2876"/>
      <c r="C89" s="2876"/>
      <c r="D89" s="2876"/>
      <c r="E89" s="863" t="s">
        <v>2587</v>
      </c>
      <c r="F89" s="466"/>
      <c r="G89" s="213" t="s">
        <v>2580</v>
      </c>
      <c r="H89" s="466">
        <v>0</v>
      </c>
      <c r="I89" s="213" t="s">
        <v>2588</v>
      </c>
      <c r="J89" s="213" t="s">
        <v>2459</v>
      </c>
      <c r="K89" s="445">
        <v>1</v>
      </c>
      <c r="L89" s="984">
        <v>1</v>
      </c>
      <c r="M89" s="413">
        <v>0</v>
      </c>
      <c r="N89" s="984">
        <v>0</v>
      </c>
      <c r="O89" s="2876"/>
      <c r="P89" s="466">
        <v>70000000</v>
      </c>
      <c r="Q89" s="466">
        <v>70000000</v>
      </c>
      <c r="R89" s="466">
        <v>0</v>
      </c>
      <c r="S89" s="466">
        <v>0</v>
      </c>
      <c r="T89" s="2253">
        <f t="shared" si="43"/>
        <v>0</v>
      </c>
      <c r="U89" s="2253">
        <f t="shared" si="43"/>
        <v>0</v>
      </c>
      <c r="V89" s="453"/>
      <c r="W89" s="889"/>
      <c r="X89" s="2284"/>
      <c r="Y89" s="3147"/>
    </row>
    <row r="90" spans="1:25">
      <c r="A90" s="2823">
        <v>4148</v>
      </c>
      <c r="B90" s="2823"/>
      <c r="C90" s="2823" t="s">
        <v>109</v>
      </c>
      <c r="D90" s="3027" t="s">
        <v>2589</v>
      </c>
      <c r="E90" s="863" t="s">
        <v>2590</v>
      </c>
      <c r="F90" s="466"/>
      <c r="G90" s="213"/>
      <c r="H90" s="466">
        <f>H91</f>
        <v>0</v>
      </c>
      <c r="I90" s="213"/>
      <c r="J90" s="213"/>
      <c r="K90" s="463">
        <f>K91</f>
        <v>175</v>
      </c>
      <c r="L90" s="984">
        <f>SUM(L91:L92)</f>
        <v>1</v>
      </c>
      <c r="M90" s="413"/>
      <c r="N90" s="984">
        <f>SUM(N91:N92)</f>
        <v>0.17899999999999999</v>
      </c>
      <c r="O90" s="3156">
        <f>IF(Q90&gt;0,N90,"na")</f>
        <v>0.17899999999999999</v>
      </c>
      <c r="P90" s="466">
        <f t="shared" ref="P90:S90" si="46">SUM(P91:P92)</f>
        <v>786403000</v>
      </c>
      <c r="Q90" s="466">
        <f t="shared" si="46"/>
        <v>6722878822</v>
      </c>
      <c r="R90" s="466">
        <f t="shared" si="46"/>
        <v>769338057</v>
      </c>
      <c r="S90" s="466">
        <f t="shared" si="46"/>
        <v>240945367</v>
      </c>
      <c r="T90" s="2253">
        <f t="shared" si="43"/>
        <v>0.11443580605415826</v>
      </c>
      <c r="U90" s="2253">
        <f t="shared" si="43"/>
        <v>0.31318529586272631</v>
      </c>
      <c r="V90" s="453"/>
      <c r="W90" s="889"/>
      <c r="X90" s="2260"/>
      <c r="Y90" s="2841" t="s">
        <v>2453</v>
      </c>
    </row>
    <row r="91" spans="1:25" ht="135">
      <c r="A91" s="2875"/>
      <c r="B91" s="2875"/>
      <c r="C91" s="2875"/>
      <c r="D91" s="2875"/>
      <c r="E91" s="863" t="s">
        <v>2591</v>
      </c>
      <c r="F91" s="466"/>
      <c r="G91" s="213" t="s">
        <v>2580</v>
      </c>
      <c r="H91" s="466">
        <v>0</v>
      </c>
      <c r="I91" s="213" t="s">
        <v>5331</v>
      </c>
      <c r="J91" s="213" t="s">
        <v>2547</v>
      </c>
      <c r="K91" s="463">
        <v>175</v>
      </c>
      <c r="L91" s="984">
        <v>0.85</v>
      </c>
      <c r="M91" s="413">
        <v>6</v>
      </c>
      <c r="N91" s="984">
        <v>0.17899999999999999</v>
      </c>
      <c r="O91" s="2875"/>
      <c r="P91" s="466">
        <v>706265543</v>
      </c>
      <c r="Q91" s="466">
        <v>6477741365</v>
      </c>
      <c r="R91" s="466">
        <v>769338057</v>
      </c>
      <c r="S91" s="466">
        <v>240945367</v>
      </c>
      <c r="T91" s="2253">
        <f t="shared" si="43"/>
        <v>0.11876640539506937</v>
      </c>
      <c r="U91" s="2253">
        <f t="shared" si="43"/>
        <v>0.31318529586272631</v>
      </c>
      <c r="V91" s="889">
        <v>45322</v>
      </c>
      <c r="W91" s="889">
        <v>45596</v>
      </c>
      <c r="X91" s="213" t="s">
        <v>5332</v>
      </c>
      <c r="Y91" s="3146"/>
    </row>
    <row r="92" spans="1:25" ht="54">
      <c r="A92" s="2876"/>
      <c r="B92" s="2876"/>
      <c r="C92" s="2876"/>
      <c r="D92" s="2876"/>
      <c r="E92" s="863" t="s">
        <v>2592</v>
      </c>
      <c r="F92" s="466"/>
      <c r="G92" s="213"/>
      <c r="H92" s="466"/>
      <c r="I92" s="213" t="s">
        <v>2593</v>
      </c>
      <c r="J92" s="213" t="s">
        <v>2459</v>
      </c>
      <c r="K92" s="463">
        <v>25</v>
      </c>
      <c r="L92" s="984">
        <v>0.15</v>
      </c>
      <c r="M92" s="413">
        <v>0</v>
      </c>
      <c r="N92" s="984">
        <v>0</v>
      </c>
      <c r="O92" s="2876"/>
      <c r="P92" s="466">
        <v>80137457</v>
      </c>
      <c r="Q92" s="466">
        <v>245137457</v>
      </c>
      <c r="R92" s="466">
        <v>0</v>
      </c>
      <c r="S92" s="466">
        <v>0</v>
      </c>
      <c r="T92" s="2253">
        <f t="shared" si="43"/>
        <v>0</v>
      </c>
      <c r="U92" s="2253">
        <f t="shared" si="43"/>
        <v>0</v>
      </c>
      <c r="V92" s="453"/>
      <c r="W92" s="889"/>
      <c r="X92" s="213"/>
      <c r="Y92" s="3147"/>
    </row>
    <row r="93" spans="1:25">
      <c r="A93" s="2823">
        <v>4148</v>
      </c>
      <c r="B93" s="2823"/>
      <c r="C93" s="2823" t="s">
        <v>109</v>
      </c>
      <c r="D93" s="3027" t="s">
        <v>2594</v>
      </c>
      <c r="E93" s="863" t="s">
        <v>2595</v>
      </c>
      <c r="F93" s="466"/>
      <c r="G93" s="213"/>
      <c r="H93" s="466">
        <f>H94</f>
        <v>0</v>
      </c>
      <c r="I93" s="213"/>
      <c r="J93" s="863"/>
      <c r="K93" s="445">
        <f t="shared" ref="K93:L93" si="47">K94</f>
        <v>4</v>
      </c>
      <c r="L93" s="984">
        <f t="shared" si="47"/>
        <v>1</v>
      </c>
      <c r="M93" s="413"/>
      <c r="N93" s="984">
        <f>N94</f>
        <v>0</v>
      </c>
      <c r="O93" s="3156">
        <f>IF(Q93&gt;0,N93,"na")</f>
        <v>0</v>
      </c>
      <c r="P93" s="466">
        <f t="shared" ref="P93:S93" si="48">P94</f>
        <v>161796000</v>
      </c>
      <c r="Q93" s="466">
        <f t="shared" si="48"/>
        <v>161796000</v>
      </c>
      <c r="R93" s="466">
        <f t="shared" si="48"/>
        <v>161796000</v>
      </c>
      <c r="S93" s="466">
        <f t="shared" si="48"/>
        <v>0</v>
      </c>
      <c r="T93" s="2253">
        <f t="shared" si="43"/>
        <v>1</v>
      </c>
      <c r="U93" s="2253">
        <f t="shared" si="43"/>
        <v>0</v>
      </c>
      <c r="V93" s="453"/>
      <c r="W93" s="889"/>
      <c r="X93" s="2260"/>
      <c r="Y93" s="2841" t="s">
        <v>2453</v>
      </c>
    </row>
    <row r="94" spans="1:25" ht="54">
      <c r="A94" s="2876"/>
      <c r="B94" s="2876"/>
      <c r="C94" s="2876"/>
      <c r="D94" s="2876"/>
      <c r="E94" s="863" t="s">
        <v>2596</v>
      </c>
      <c r="F94" s="466"/>
      <c r="G94" s="213" t="s">
        <v>2580</v>
      </c>
      <c r="H94" s="466">
        <v>0</v>
      </c>
      <c r="I94" s="213" t="s">
        <v>2597</v>
      </c>
      <c r="J94" s="213" t="s">
        <v>2459</v>
      </c>
      <c r="K94" s="445">
        <v>4</v>
      </c>
      <c r="L94" s="984">
        <v>1</v>
      </c>
      <c r="M94" s="413">
        <v>0</v>
      </c>
      <c r="N94" s="984">
        <v>0</v>
      </c>
      <c r="O94" s="2876"/>
      <c r="P94" s="466">
        <v>161796000</v>
      </c>
      <c r="Q94" s="466">
        <v>161796000</v>
      </c>
      <c r="R94" s="466">
        <v>161796000</v>
      </c>
      <c r="S94" s="466">
        <v>0</v>
      </c>
      <c r="T94" s="2253">
        <f t="shared" si="43"/>
        <v>1</v>
      </c>
      <c r="U94" s="2253">
        <f t="shared" si="43"/>
        <v>0</v>
      </c>
      <c r="V94" s="453">
        <v>45443</v>
      </c>
      <c r="W94" s="889">
        <v>45626</v>
      </c>
      <c r="X94" s="2260" t="s">
        <v>5333</v>
      </c>
      <c r="Y94" s="3147"/>
    </row>
    <row r="95" spans="1:25">
      <c r="A95" s="2823">
        <v>4148</v>
      </c>
      <c r="B95" s="2823"/>
      <c r="C95" s="2823" t="s">
        <v>109</v>
      </c>
      <c r="D95" s="3027" t="s">
        <v>2598</v>
      </c>
      <c r="E95" s="863" t="s">
        <v>2599</v>
      </c>
      <c r="F95" s="466"/>
      <c r="G95" s="213"/>
      <c r="H95" s="466">
        <f>H96</f>
        <v>0</v>
      </c>
      <c r="I95" s="213"/>
      <c r="J95" s="863"/>
      <c r="K95" s="445">
        <f t="shared" ref="K95:L95" si="49">K96</f>
        <v>4</v>
      </c>
      <c r="L95" s="984">
        <f t="shared" si="49"/>
        <v>1</v>
      </c>
      <c r="M95" s="413"/>
      <c r="N95" s="984">
        <f>N96</f>
        <v>0</v>
      </c>
      <c r="O95" s="3156">
        <f>IF(Q95&gt;0,N95,"na")</f>
        <v>0</v>
      </c>
      <c r="P95" s="466">
        <f t="shared" ref="P95:S95" si="50">P96</f>
        <v>310041500</v>
      </c>
      <c r="Q95" s="466">
        <f t="shared" si="50"/>
        <v>310041500</v>
      </c>
      <c r="R95" s="466">
        <f t="shared" si="50"/>
        <v>0</v>
      </c>
      <c r="S95" s="466">
        <f t="shared" si="50"/>
        <v>0</v>
      </c>
      <c r="T95" s="2253">
        <f t="shared" si="43"/>
        <v>0</v>
      </c>
      <c r="U95" s="2253">
        <f t="shared" si="43"/>
        <v>0</v>
      </c>
      <c r="V95" s="453"/>
      <c r="W95" s="889"/>
      <c r="X95" s="2260"/>
      <c r="Y95" s="2841" t="s">
        <v>2453</v>
      </c>
    </row>
    <row r="96" spans="1:25" ht="54">
      <c r="A96" s="2876"/>
      <c r="B96" s="2876"/>
      <c r="C96" s="2876"/>
      <c r="D96" s="2876"/>
      <c r="E96" s="863" t="s">
        <v>2600</v>
      </c>
      <c r="F96" s="466"/>
      <c r="G96" s="213" t="s">
        <v>2580</v>
      </c>
      <c r="H96" s="466">
        <v>0</v>
      </c>
      <c r="I96" s="213" t="s">
        <v>2597</v>
      </c>
      <c r="J96" s="213" t="s">
        <v>2459</v>
      </c>
      <c r="K96" s="445">
        <v>4</v>
      </c>
      <c r="L96" s="984">
        <v>1</v>
      </c>
      <c r="M96" s="413">
        <v>0</v>
      </c>
      <c r="N96" s="984">
        <v>0</v>
      </c>
      <c r="O96" s="2876"/>
      <c r="P96" s="466">
        <v>310041500</v>
      </c>
      <c r="Q96" s="466">
        <v>310041500</v>
      </c>
      <c r="R96" s="466">
        <v>0</v>
      </c>
      <c r="S96" s="466">
        <v>0</v>
      </c>
      <c r="T96" s="2253">
        <f t="shared" si="43"/>
        <v>0</v>
      </c>
      <c r="U96" s="2253">
        <f t="shared" si="43"/>
        <v>0</v>
      </c>
      <c r="V96" s="453"/>
      <c r="W96" s="889"/>
      <c r="X96" s="2260"/>
      <c r="Y96" s="3147"/>
    </row>
    <row r="97" spans="1:25" ht="33">
      <c r="A97" s="326"/>
      <c r="B97" s="252">
        <v>5203008</v>
      </c>
      <c r="C97" s="252" t="s">
        <v>102</v>
      </c>
      <c r="D97" s="434" t="s">
        <v>161</v>
      </c>
      <c r="E97" s="417"/>
      <c r="F97" s="466"/>
      <c r="G97" s="213"/>
      <c r="H97" s="466"/>
      <c r="I97" s="213"/>
      <c r="J97" s="863"/>
      <c r="K97" s="445"/>
      <c r="L97" s="984"/>
      <c r="M97" s="413"/>
      <c r="N97" s="984"/>
      <c r="O97" s="984"/>
      <c r="P97" s="466"/>
      <c r="Q97" s="466"/>
      <c r="R97" s="466"/>
      <c r="S97" s="466"/>
      <c r="T97" s="417"/>
      <c r="U97" s="417"/>
      <c r="V97" s="453"/>
      <c r="W97" s="889"/>
      <c r="X97" s="213"/>
      <c r="Y97" s="883"/>
    </row>
    <row r="98" spans="1:25" ht="63.75">
      <c r="A98" s="326"/>
      <c r="B98" s="240">
        <v>52030080007</v>
      </c>
      <c r="C98" s="240" t="s">
        <v>103</v>
      </c>
      <c r="D98" s="235" t="s">
        <v>2601</v>
      </c>
      <c r="E98" s="417"/>
      <c r="F98" s="466">
        <v>0</v>
      </c>
      <c r="G98" s="213"/>
      <c r="H98" s="466">
        <f>H99</f>
        <v>0</v>
      </c>
      <c r="I98" s="213"/>
      <c r="J98" s="863"/>
      <c r="K98" s="445">
        <f>K99</f>
        <v>55</v>
      </c>
      <c r="L98" s="984"/>
      <c r="M98" s="413"/>
      <c r="N98" s="984"/>
      <c r="O98" s="984"/>
      <c r="P98" s="466"/>
      <c r="Q98" s="466"/>
      <c r="R98" s="466"/>
      <c r="S98" s="466"/>
      <c r="T98" s="417"/>
      <c r="U98" s="417"/>
      <c r="V98" s="453"/>
      <c r="W98" s="889"/>
      <c r="X98" s="213"/>
      <c r="Y98" s="883"/>
    </row>
    <row r="99" spans="1:25">
      <c r="A99" s="2823">
        <v>4148</v>
      </c>
      <c r="B99" s="2823"/>
      <c r="C99" s="2823" t="s">
        <v>109</v>
      </c>
      <c r="D99" s="3027" t="s">
        <v>2602</v>
      </c>
      <c r="E99" s="863" t="s">
        <v>2603</v>
      </c>
      <c r="F99" s="466"/>
      <c r="G99" s="213"/>
      <c r="H99" s="466">
        <f>SUM(H100:H102)</f>
        <v>0</v>
      </c>
      <c r="I99" s="213"/>
      <c r="J99" s="863"/>
      <c r="K99" s="463">
        <f t="shared" ref="K99:L99" si="51">SUM(K100:K102)</f>
        <v>55</v>
      </c>
      <c r="L99" s="984">
        <f t="shared" si="51"/>
        <v>1</v>
      </c>
      <c r="M99" s="413"/>
      <c r="N99" s="984">
        <f>SUM(N100:N102)</f>
        <v>4.9000000000000002E-2</v>
      </c>
      <c r="O99" s="3156">
        <f>IF(Q99&gt;0,N99,"na")</f>
        <v>4.9000000000000002E-2</v>
      </c>
      <c r="P99" s="466">
        <f t="shared" ref="P99:S99" si="52">SUM(P100:P102)</f>
        <v>2454800552</v>
      </c>
      <c r="Q99" s="466">
        <f t="shared" si="52"/>
        <v>2454800552</v>
      </c>
      <c r="R99" s="466">
        <f t="shared" si="52"/>
        <v>232942000</v>
      </c>
      <c r="S99" s="466">
        <f t="shared" si="52"/>
        <v>112100000</v>
      </c>
      <c r="T99" s="2253">
        <f t="shared" ref="T99:U106" si="53">IF(Q99=0,0,R99/Q99)</f>
        <v>9.4892434259156055E-2</v>
      </c>
      <c r="U99" s="2253">
        <f t="shared" si="53"/>
        <v>0.481235672399138</v>
      </c>
      <c r="V99" s="453"/>
      <c r="W99" s="889"/>
      <c r="X99" s="2260"/>
      <c r="Y99" s="2841" t="s">
        <v>2474</v>
      </c>
    </row>
    <row r="100" spans="1:25" ht="121.5">
      <c r="A100" s="2875"/>
      <c r="B100" s="2875"/>
      <c r="C100" s="2875"/>
      <c r="D100" s="2875"/>
      <c r="E100" s="417" t="s">
        <v>2604</v>
      </c>
      <c r="F100" s="466"/>
      <c r="G100" s="265" t="s">
        <v>2601</v>
      </c>
      <c r="H100" s="466">
        <v>0</v>
      </c>
      <c r="I100" s="213" t="s">
        <v>2605</v>
      </c>
      <c r="J100" s="863" t="s">
        <v>2606</v>
      </c>
      <c r="K100" s="445">
        <v>49</v>
      </c>
      <c r="L100" s="984">
        <v>0.7</v>
      </c>
      <c r="M100" s="413">
        <v>14</v>
      </c>
      <c r="N100" s="984">
        <v>4.9000000000000002E-2</v>
      </c>
      <c r="O100" s="2875"/>
      <c r="P100" s="466">
        <v>1680537794</v>
      </c>
      <c r="Q100" s="466">
        <v>1680537794</v>
      </c>
      <c r="R100" s="466">
        <v>232942000</v>
      </c>
      <c r="S100" s="466">
        <v>112100000</v>
      </c>
      <c r="T100" s="2253">
        <f t="shared" si="53"/>
        <v>0.13861158066880108</v>
      </c>
      <c r="U100" s="2253">
        <f t="shared" si="53"/>
        <v>0.481235672399138</v>
      </c>
      <c r="V100" s="453">
        <v>45320</v>
      </c>
      <c r="W100" s="889">
        <v>45624</v>
      </c>
      <c r="X100" s="213" t="s">
        <v>5334</v>
      </c>
      <c r="Y100" s="3146"/>
    </row>
    <row r="101" spans="1:25" ht="67.5">
      <c r="A101" s="2875"/>
      <c r="B101" s="2875"/>
      <c r="C101" s="2875"/>
      <c r="D101" s="2875"/>
      <c r="E101" s="417" t="s">
        <v>2607</v>
      </c>
      <c r="F101" s="466"/>
      <c r="G101" s="265" t="s">
        <v>2601</v>
      </c>
      <c r="H101" s="466">
        <v>0</v>
      </c>
      <c r="I101" s="213" t="s">
        <v>2608</v>
      </c>
      <c r="J101" s="863" t="s">
        <v>2609</v>
      </c>
      <c r="K101" s="445">
        <v>3</v>
      </c>
      <c r="L101" s="984">
        <v>0.05</v>
      </c>
      <c r="M101" s="413">
        <v>0</v>
      </c>
      <c r="N101" s="984">
        <v>0</v>
      </c>
      <c r="O101" s="2875"/>
      <c r="P101" s="466">
        <v>528957772</v>
      </c>
      <c r="Q101" s="466">
        <v>528957772</v>
      </c>
      <c r="R101" s="466">
        <v>0</v>
      </c>
      <c r="S101" s="466">
        <v>0</v>
      </c>
      <c r="T101" s="2253">
        <f t="shared" si="53"/>
        <v>0</v>
      </c>
      <c r="U101" s="2253">
        <f t="shared" si="53"/>
        <v>0</v>
      </c>
      <c r="V101" s="453"/>
      <c r="W101" s="889"/>
      <c r="X101" s="213"/>
      <c r="Y101" s="3146"/>
    </row>
    <row r="102" spans="1:25" ht="67.5">
      <c r="A102" s="2876"/>
      <c r="B102" s="2876"/>
      <c r="C102" s="2876"/>
      <c r="D102" s="2876"/>
      <c r="E102" s="417" t="s">
        <v>2610</v>
      </c>
      <c r="F102" s="466"/>
      <c r="G102" s="265" t="s">
        <v>2601</v>
      </c>
      <c r="H102" s="466">
        <v>0</v>
      </c>
      <c r="I102" s="213" t="s">
        <v>2611</v>
      </c>
      <c r="J102" s="213" t="s">
        <v>2612</v>
      </c>
      <c r="K102" s="445">
        <v>3</v>
      </c>
      <c r="L102" s="984">
        <v>0.25</v>
      </c>
      <c r="M102" s="413">
        <v>0</v>
      </c>
      <c r="N102" s="984">
        <v>0</v>
      </c>
      <c r="O102" s="2876"/>
      <c r="P102" s="466">
        <v>245304986</v>
      </c>
      <c r="Q102" s="466">
        <v>245304986</v>
      </c>
      <c r="R102" s="466">
        <v>0</v>
      </c>
      <c r="S102" s="466">
        <v>0</v>
      </c>
      <c r="T102" s="2253">
        <f t="shared" si="53"/>
        <v>0</v>
      </c>
      <c r="U102" s="2253">
        <f t="shared" si="53"/>
        <v>0</v>
      </c>
      <c r="V102" s="453"/>
      <c r="W102" s="889"/>
      <c r="X102" s="213"/>
      <c r="Y102" s="3147"/>
    </row>
    <row r="103" spans="1:25">
      <c r="A103" s="2823">
        <v>4148</v>
      </c>
      <c r="B103" s="2823"/>
      <c r="C103" s="2823" t="s">
        <v>109</v>
      </c>
      <c r="D103" s="3027" t="s">
        <v>2613</v>
      </c>
      <c r="E103" s="863" t="s">
        <v>2614</v>
      </c>
      <c r="F103" s="466"/>
      <c r="G103" s="2177"/>
      <c r="H103" s="466">
        <f>H104</f>
        <v>0</v>
      </c>
      <c r="I103" s="213"/>
      <c r="J103" s="213"/>
      <c r="K103" s="445">
        <f t="shared" ref="K103:L103" si="54">K104</f>
        <v>30</v>
      </c>
      <c r="L103" s="984">
        <f t="shared" si="54"/>
        <v>1</v>
      </c>
      <c r="M103" s="413"/>
      <c r="N103" s="984">
        <f>N104</f>
        <v>0</v>
      </c>
      <c r="O103" s="3156">
        <f>IF(Q103&gt;0,N103,"na")</f>
        <v>0</v>
      </c>
      <c r="P103" s="466">
        <f t="shared" ref="P103:S103" si="55">P104</f>
        <v>1286174980</v>
      </c>
      <c r="Q103" s="466">
        <f t="shared" si="55"/>
        <v>1286174980</v>
      </c>
      <c r="R103" s="466">
        <f t="shared" si="55"/>
        <v>0</v>
      </c>
      <c r="S103" s="466">
        <f t="shared" si="55"/>
        <v>0</v>
      </c>
      <c r="T103" s="2253">
        <f t="shared" si="53"/>
        <v>0</v>
      </c>
      <c r="U103" s="2253">
        <f t="shared" si="53"/>
        <v>0</v>
      </c>
      <c r="V103" s="453"/>
      <c r="W103" s="889"/>
      <c r="X103" s="2260"/>
      <c r="Y103" s="2841" t="s">
        <v>2474</v>
      </c>
    </row>
    <row r="104" spans="1:25" ht="67.5">
      <c r="A104" s="2876"/>
      <c r="B104" s="2876"/>
      <c r="C104" s="2876"/>
      <c r="D104" s="2876"/>
      <c r="E104" s="863" t="s">
        <v>2615</v>
      </c>
      <c r="F104" s="466"/>
      <c r="G104" s="213" t="s">
        <v>2601</v>
      </c>
      <c r="H104" s="466">
        <v>0</v>
      </c>
      <c r="I104" s="213" t="s">
        <v>2616</v>
      </c>
      <c r="J104" s="213" t="s">
        <v>2617</v>
      </c>
      <c r="K104" s="445">
        <v>30</v>
      </c>
      <c r="L104" s="984">
        <v>1</v>
      </c>
      <c r="M104" s="413">
        <v>0</v>
      </c>
      <c r="N104" s="984">
        <v>0</v>
      </c>
      <c r="O104" s="2876"/>
      <c r="P104" s="466">
        <v>1286174980</v>
      </c>
      <c r="Q104" s="466">
        <v>1286174980</v>
      </c>
      <c r="R104" s="466">
        <v>0</v>
      </c>
      <c r="S104" s="466">
        <v>0</v>
      </c>
      <c r="T104" s="2253">
        <f t="shared" si="53"/>
        <v>0</v>
      </c>
      <c r="U104" s="2253">
        <f t="shared" si="53"/>
        <v>0</v>
      </c>
      <c r="V104" s="453"/>
      <c r="W104" s="889"/>
      <c r="X104" s="2260"/>
      <c r="Y104" s="3147"/>
    </row>
    <row r="105" spans="1:25">
      <c r="A105" s="2823">
        <v>4148</v>
      </c>
      <c r="B105" s="2823"/>
      <c r="C105" s="2823" t="s">
        <v>109</v>
      </c>
      <c r="D105" s="3027" t="s">
        <v>2618</v>
      </c>
      <c r="E105" s="863" t="s">
        <v>2619</v>
      </c>
      <c r="F105" s="466"/>
      <c r="G105" s="213"/>
      <c r="H105" s="466">
        <f>H106</f>
        <v>0</v>
      </c>
      <c r="I105" s="213"/>
      <c r="J105" s="863"/>
      <c r="K105" s="445">
        <f t="shared" ref="K105:L105" si="56">K106</f>
        <v>1</v>
      </c>
      <c r="L105" s="984">
        <f t="shared" si="56"/>
        <v>1</v>
      </c>
      <c r="M105" s="413"/>
      <c r="N105" s="984">
        <f>N106</f>
        <v>0</v>
      </c>
      <c r="O105" s="3156">
        <f>IF(Q105&gt;0,N105,"na")</f>
        <v>0</v>
      </c>
      <c r="P105" s="466">
        <f t="shared" ref="P105:S105" si="57">P106</f>
        <v>29118312</v>
      </c>
      <c r="Q105" s="466">
        <f t="shared" si="57"/>
        <v>29118312</v>
      </c>
      <c r="R105" s="466">
        <f t="shared" si="57"/>
        <v>0</v>
      </c>
      <c r="S105" s="466">
        <f t="shared" si="57"/>
        <v>0</v>
      </c>
      <c r="T105" s="2253">
        <f t="shared" si="53"/>
        <v>0</v>
      </c>
      <c r="U105" s="2253">
        <f t="shared" si="53"/>
        <v>0</v>
      </c>
      <c r="V105" s="453"/>
      <c r="W105" s="889"/>
      <c r="X105" s="2260"/>
      <c r="Y105" s="2841" t="s">
        <v>2474</v>
      </c>
    </row>
    <row r="106" spans="1:25" ht="67.5">
      <c r="A106" s="2876"/>
      <c r="B106" s="2876"/>
      <c r="C106" s="2876"/>
      <c r="D106" s="2876"/>
      <c r="E106" s="863" t="s">
        <v>2620</v>
      </c>
      <c r="F106" s="466"/>
      <c r="G106" s="213" t="s">
        <v>2601</v>
      </c>
      <c r="H106" s="466">
        <v>0</v>
      </c>
      <c r="I106" s="213" t="s">
        <v>2621</v>
      </c>
      <c r="J106" s="863" t="s">
        <v>2609</v>
      </c>
      <c r="K106" s="445">
        <v>1</v>
      </c>
      <c r="L106" s="984">
        <v>1</v>
      </c>
      <c r="M106" s="413">
        <v>0</v>
      </c>
      <c r="N106" s="984">
        <v>0</v>
      </c>
      <c r="O106" s="2876"/>
      <c r="P106" s="466">
        <v>29118312</v>
      </c>
      <c r="Q106" s="466">
        <v>29118312</v>
      </c>
      <c r="R106" s="466">
        <v>0</v>
      </c>
      <c r="S106" s="466">
        <v>0</v>
      </c>
      <c r="T106" s="2253">
        <f t="shared" si="53"/>
        <v>0</v>
      </c>
      <c r="U106" s="2253">
        <f t="shared" si="53"/>
        <v>0</v>
      </c>
      <c r="V106" s="453"/>
      <c r="W106" s="889"/>
      <c r="X106" s="2260"/>
      <c r="Y106" s="3147"/>
    </row>
    <row r="107" spans="1:25">
      <c r="A107" s="326"/>
      <c r="B107" s="252">
        <v>5204</v>
      </c>
      <c r="C107" s="252" t="s">
        <v>101</v>
      </c>
      <c r="D107" s="434" t="s">
        <v>2622</v>
      </c>
      <c r="E107" s="417"/>
      <c r="F107" s="466"/>
      <c r="G107" s="213"/>
      <c r="H107" s="466"/>
      <c r="I107" s="213"/>
      <c r="J107" s="863"/>
      <c r="K107" s="445"/>
      <c r="L107" s="984"/>
      <c r="M107" s="413"/>
      <c r="N107" s="984"/>
      <c r="O107" s="984"/>
      <c r="P107" s="466"/>
      <c r="Q107" s="466"/>
      <c r="R107" s="466"/>
      <c r="S107" s="466"/>
      <c r="T107" s="417"/>
      <c r="U107" s="417"/>
      <c r="V107" s="453"/>
      <c r="W107" s="889"/>
      <c r="X107" s="213"/>
      <c r="Y107" s="883"/>
    </row>
    <row r="108" spans="1:25" ht="33">
      <c r="A108" s="326"/>
      <c r="B108" s="252">
        <v>5204004</v>
      </c>
      <c r="C108" s="252" t="s">
        <v>102</v>
      </c>
      <c r="D108" s="434" t="s">
        <v>2623</v>
      </c>
      <c r="E108" s="417"/>
      <c r="F108" s="466"/>
      <c r="G108" s="213"/>
      <c r="H108" s="466"/>
      <c r="I108" s="213"/>
      <c r="J108" s="863"/>
      <c r="K108" s="445"/>
      <c r="L108" s="984"/>
      <c r="M108" s="413"/>
      <c r="N108" s="984"/>
      <c r="O108" s="984"/>
      <c r="P108" s="466"/>
      <c r="Q108" s="466"/>
      <c r="R108" s="466"/>
      <c r="S108" s="466"/>
      <c r="T108" s="417"/>
      <c r="U108" s="417"/>
      <c r="V108" s="453"/>
      <c r="W108" s="889"/>
      <c r="X108" s="213"/>
      <c r="Y108" s="883"/>
    </row>
    <row r="109" spans="1:25" ht="38.25">
      <c r="A109" s="326"/>
      <c r="B109" s="240">
        <v>52040040001</v>
      </c>
      <c r="C109" s="240" t="s">
        <v>103</v>
      </c>
      <c r="D109" s="235" t="s">
        <v>2624</v>
      </c>
      <c r="E109" s="417"/>
      <c r="F109" s="466">
        <v>0</v>
      </c>
      <c r="G109" s="213"/>
      <c r="H109" s="466">
        <f>H110</f>
        <v>0</v>
      </c>
      <c r="I109" s="213"/>
      <c r="J109" s="863"/>
      <c r="K109" s="445">
        <f>K110</f>
        <v>87</v>
      </c>
      <c r="L109" s="984"/>
      <c r="M109" s="413"/>
      <c r="N109" s="984"/>
      <c r="O109" s="984"/>
      <c r="P109" s="466"/>
      <c r="Q109" s="466"/>
      <c r="R109" s="466"/>
      <c r="S109" s="466"/>
      <c r="T109" s="417"/>
      <c r="U109" s="417"/>
      <c r="V109" s="453"/>
      <c r="W109" s="889"/>
      <c r="X109" s="213"/>
      <c r="Y109" s="883"/>
    </row>
    <row r="110" spans="1:25">
      <c r="A110" s="2823">
        <v>4148</v>
      </c>
      <c r="B110" s="2823"/>
      <c r="C110" s="2823" t="s">
        <v>109</v>
      </c>
      <c r="D110" s="3027" t="s">
        <v>2625</v>
      </c>
      <c r="E110" s="863" t="s">
        <v>2626</v>
      </c>
      <c r="F110" s="466"/>
      <c r="G110" s="213"/>
      <c r="H110" s="466">
        <f>H112</f>
        <v>0</v>
      </c>
      <c r="I110" s="213"/>
      <c r="J110" s="863"/>
      <c r="K110" s="445">
        <f>K112</f>
        <v>87</v>
      </c>
      <c r="L110" s="984">
        <f>SUM(L111:L112)</f>
        <v>1</v>
      </c>
      <c r="M110" s="413"/>
      <c r="N110" s="984">
        <f>SUM(N111:N112)</f>
        <v>0.25</v>
      </c>
      <c r="O110" s="3156">
        <f>IF(Q110&gt;0,N110,"na")</f>
        <v>0.25</v>
      </c>
      <c r="P110" s="466">
        <f t="shared" ref="P110:S110" si="58">SUM(P111:P112)</f>
        <v>969804907</v>
      </c>
      <c r="Q110" s="466">
        <f t="shared" si="58"/>
        <v>969804907</v>
      </c>
      <c r="R110" s="466">
        <f t="shared" si="58"/>
        <v>780270166</v>
      </c>
      <c r="S110" s="466">
        <f t="shared" si="58"/>
        <v>31386000</v>
      </c>
      <c r="T110" s="2253">
        <f t="shared" ref="T110:U112" si="59">IF(Q110=0,0,R110/Q110)</f>
        <v>0.80456405238625994</v>
      </c>
      <c r="U110" s="2253">
        <f t="shared" si="59"/>
        <v>4.0224529102398106E-2</v>
      </c>
      <c r="V110" s="453"/>
      <c r="W110" s="889"/>
      <c r="X110" s="2260"/>
      <c r="Y110" s="2841" t="s">
        <v>2474</v>
      </c>
    </row>
    <row r="111" spans="1:25" ht="175.5">
      <c r="A111" s="2875"/>
      <c r="B111" s="2875"/>
      <c r="C111" s="2875"/>
      <c r="D111" s="2875"/>
      <c r="E111" s="417" t="s">
        <v>2627</v>
      </c>
      <c r="F111" s="466"/>
      <c r="G111" s="213"/>
      <c r="H111" s="466"/>
      <c r="I111" s="213" t="s">
        <v>2628</v>
      </c>
      <c r="J111" s="863" t="s">
        <v>2519</v>
      </c>
      <c r="K111" s="445">
        <v>3200</v>
      </c>
      <c r="L111" s="984">
        <v>0.68</v>
      </c>
      <c r="M111" s="413">
        <v>997</v>
      </c>
      <c r="N111" s="984">
        <v>0.2</v>
      </c>
      <c r="O111" s="2875"/>
      <c r="P111" s="466">
        <v>659143935</v>
      </c>
      <c r="Q111" s="466">
        <v>659143935</v>
      </c>
      <c r="R111" s="466">
        <v>544732335</v>
      </c>
      <c r="S111" s="466">
        <v>31386000</v>
      </c>
      <c r="T111" s="2253">
        <f t="shared" si="59"/>
        <v>0.82642395093872778</v>
      </c>
      <c r="U111" s="2253">
        <f t="shared" si="59"/>
        <v>5.7617288314636216E-2</v>
      </c>
      <c r="V111" s="453">
        <v>45322</v>
      </c>
      <c r="W111" s="889">
        <v>45596</v>
      </c>
      <c r="X111" s="213" t="s">
        <v>5335</v>
      </c>
      <c r="Y111" s="3146"/>
    </row>
    <row r="112" spans="1:25" ht="108">
      <c r="A112" s="2876"/>
      <c r="B112" s="2876"/>
      <c r="C112" s="2876"/>
      <c r="D112" s="2876"/>
      <c r="E112" s="417" t="s">
        <v>2629</v>
      </c>
      <c r="F112" s="466"/>
      <c r="G112" s="213" t="s">
        <v>2624</v>
      </c>
      <c r="H112" s="466">
        <v>0</v>
      </c>
      <c r="I112" s="213" t="s">
        <v>2630</v>
      </c>
      <c r="J112" s="213" t="s">
        <v>2631</v>
      </c>
      <c r="K112" s="445">
        <v>87</v>
      </c>
      <c r="L112" s="984">
        <v>0.32</v>
      </c>
      <c r="M112" s="413">
        <v>0</v>
      </c>
      <c r="N112" s="984">
        <v>0.05</v>
      </c>
      <c r="O112" s="2876"/>
      <c r="P112" s="466">
        <v>310660972</v>
      </c>
      <c r="Q112" s="466">
        <v>310660972</v>
      </c>
      <c r="R112" s="466">
        <v>235537831</v>
      </c>
      <c r="S112" s="466">
        <v>0</v>
      </c>
      <c r="T112" s="2253">
        <f t="shared" si="59"/>
        <v>0.75818288175574244</v>
      </c>
      <c r="U112" s="2253">
        <f t="shared" si="59"/>
        <v>0</v>
      </c>
      <c r="V112" s="453">
        <v>45397</v>
      </c>
      <c r="W112" s="889">
        <v>45616</v>
      </c>
      <c r="X112" s="1035" t="s">
        <v>5336</v>
      </c>
      <c r="Y112" s="3147"/>
    </row>
    <row r="113" spans="1:25" ht="38.25">
      <c r="A113" s="326"/>
      <c r="B113" s="240">
        <v>52040040002</v>
      </c>
      <c r="C113" s="240" t="s">
        <v>103</v>
      </c>
      <c r="D113" s="235" t="s">
        <v>2632</v>
      </c>
      <c r="E113" s="417"/>
      <c r="F113" s="466">
        <v>0</v>
      </c>
      <c r="G113" s="213"/>
      <c r="H113" s="466">
        <f t="shared" ref="H113:H114" si="60">H114</f>
        <v>0</v>
      </c>
      <c r="I113" s="213"/>
      <c r="J113" s="863"/>
      <c r="K113" s="445">
        <f>K114</f>
        <v>64</v>
      </c>
      <c r="L113" s="984"/>
      <c r="M113" s="413"/>
      <c r="N113" s="984"/>
      <c r="O113" s="984"/>
      <c r="P113" s="466"/>
      <c r="Q113" s="466"/>
      <c r="R113" s="466"/>
      <c r="S113" s="466"/>
      <c r="T113" s="417"/>
      <c r="U113" s="417"/>
      <c r="V113" s="453"/>
      <c r="W113" s="889"/>
      <c r="X113" s="213"/>
      <c r="Y113" s="883"/>
    </row>
    <row r="114" spans="1:25">
      <c r="A114" s="2823">
        <v>4148</v>
      </c>
      <c r="B114" s="2823"/>
      <c r="C114" s="2823" t="s">
        <v>109</v>
      </c>
      <c r="D114" s="3027" t="s">
        <v>2633</v>
      </c>
      <c r="E114" s="863" t="s">
        <v>2634</v>
      </c>
      <c r="F114" s="466"/>
      <c r="G114" s="213"/>
      <c r="H114" s="466">
        <f t="shared" si="60"/>
        <v>0</v>
      </c>
      <c r="I114" s="213"/>
      <c r="J114" s="863"/>
      <c r="K114" s="445">
        <v>64</v>
      </c>
      <c r="L114" s="984">
        <f>SUM(L115:L116)</f>
        <v>1</v>
      </c>
      <c r="M114" s="413"/>
      <c r="N114" s="984">
        <f>SUM(N115:N116)</f>
        <v>0.4</v>
      </c>
      <c r="O114" s="3156">
        <f>IF(Q114&gt;0,N114,"na")</f>
        <v>0.4</v>
      </c>
      <c r="P114" s="466">
        <f t="shared" ref="P114:S114" si="61">SUM(P115:P116)</f>
        <v>4882193209</v>
      </c>
      <c r="Q114" s="466">
        <f t="shared" si="61"/>
        <v>6412767832</v>
      </c>
      <c r="R114" s="466">
        <f t="shared" si="61"/>
        <v>4270182857</v>
      </c>
      <c r="S114" s="466">
        <f t="shared" si="61"/>
        <v>1834523417</v>
      </c>
      <c r="T114" s="2253">
        <f t="shared" ref="T114:U115" si="62">IF(Q114=0,0,R114/Q114)</f>
        <v>0.6658876430379399</v>
      </c>
      <c r="U114" s="2253">
        <f t="shared" si="62"/>
        <v>0.42961237924336504</v>
      </c>
      <c r="V114" s="453"/>
      <c r="W114" s="2285" t="s">
        <v>251</v>
      </c>
      <c r="X114" s="2260"/>
      <c r="Y114" s="2841" t="s">
        <v>2474</v>
      </c>
    </row>
    <row r="115" spans="1:25" ht="162">
      <c r="A115" s="2875"/>
      <c r="B115" s="2875"/>
      <c r="C115" s="2875"/>
      <c r="D115" s="2875"/>
      <c r="E115" s="417" t="s">
        <v>2635</v>
      </c>
      <c r="F115" s="466"/>
      <c r="G115" s="213" t="s">
        <v>2632</v>
      </c>
      <c r="H115" s="466">
        <v>0</v>
      </c>
      <c r="I115" s="213" t="s">
        <v>2636</v>
      </c>
      <c r="J115" s="213" t="s">
        <v>2519</v>
      </c>
      <c r="K115" s="445">
        <v>57</v>
      </c>
      <c r="L115" s="984">
        <v>0.97</v>
      </c>
      <c r="M115" s="413">
        <v>11179</v>
      </c>
      <c r="N115" s="984">
        <v>0.4</v>
      </c>
      <c r="O115" s="2875"/>
      <c r="P115" s="466">
        <v>4746193209</v>
      </c>
      <c r="Q115" s="466">
        <v>6111767832</v>
      </c>
      <c r="R115" s="466">
        <v>4267182857</v>
      </c>
      <c r="S115" s="466">
        <v>1834523417</v>
      </c>
      <c r="T115" s="2253">
        <f t="shared" si="62"/>
        <v>0.69819125567202989</v>
      </c>
      <c r="U115" s="2253">
        <f t="shared" si="62"/>
        <v>0.42991441390672985</v>
      </c>
      <c r="V115" s="453">
        <v>45322</v>
      </c>
      <c r="W115" s="889">
        <v>45596</v>
      </c>
      <c r="X115" s="213" t="s">
        <v>5337</v>
      </c>
      <c r="Y115" s="3146"/>
    </row>
    <row r="116" spans="1:25" ht="121.5">
      <c r="A116" s="2876"/>
      <c r="B116" s="2876"/>
      <c r="C116" s="2876"/>
      <c r="D116" s="2876"/>
      <c r="E116" s="417" t="s">
        <v>2637</v>
      </c>
      <c r="F116" s="466"/>
      <c r="G116" s="213"/>
      <c r="H116" s="466"/>
      <c r="I116" s="213" t="s">
        <v>2638</v>
      </c>
      <c r="J116" s="213" t="s">
        <v>2639</v>
      </c>
      <c r="K116" s="445">
        <v>5000</v>
      </c>
      <c r="L116" s="984">
        <v>0.03</v>
      </c>
      <c r="M116" s="413">
        <v>0</v>
      </c>
      <c r="N116" s="984">
        <v>0</v>
      </c>
      <c r="O116" s="2876"/>
      <c r="P116" s="466">
        <v>136000000</v>
      </c>
      <c r="Q116" s="466">
        <v>301000000</v>
      </c>
      <c r="R116" s="466">
        <v>3000000</v>
      </c>
      <c r="S116" s="466">
        <v>0</v>
      </c>
      <c r="T116" s="2281">
        <v>45322</v>
      </c>
      <c r="U116" s="2281">
        <v>45596</v>
      </c>
      <c r="V116" s="453">
        <v>45397</v>
      </c>
      <c r="W116" s="889">
        <v>45616</v>
      </c>
      <c r="X116" s="213" t="s">
        <v>5338</v>
      </c>
      <c r="Y116" s="3147"/>
    </row>
    <row r="117" spans="1:25" ht="33">
      <c r="A117" s="326"/>
      <c r="B117" s="252">
        <v>5205</v>
      </c>
      <c r="C117" s="252" t="s">
        <v>101</v>
      </c>
      <c r="D117" s="434" t="s">
        <v>2640</v>
      </c>
      <c r="E117" s="417"/>
      <c r="F117" s="466"/>
      <c r="G117" s="213"/>
      <c r="H117" s="466"/>
      <c r="I117" s="213"/>
      <c r="J117" s="863"/>
      <c r="K117" s="445"/>
      <c r="L117" s="984"/>
      <c r="M117" s="413"/>
      <c r="N117" s="984"/>
      <c r="O117" s="984"/>
      <c r="P117" s="466"/>
      <c r="Q117" s="466"/>
      <c r="R117" s="466"/>
      <c r="S117" s="466"/>
      <c r="T117" s="417"/>
      <c r="U117" s="417"/>
      <c r="V117" s="453"/>
      <c r="W117" s="889"/>
      <c r="X117" s="213"/>
      <c r="Y117" s="883"/>
    </row>
    <row r="118" spans="1:25" ht="33">
      <c r="A118" s="326"/>
      <c r="B118" s="252">
        <v>5205001</v>
      </c>
      <c r="C118" s="252" t="s">
        <v>102</v>
      </c>
      <c r="D118" s="434" t="s">
        <v>171</v>
      </c>
      <c r="E118" s="417"/>
      <c r="F118" s="466"/>
      <c r="G118" s="213"/>
      <c r="H118" s="466"/>
      <c r="I118" s="213"/>
      <c r="J118" s="863"/>
      <c r="K118" s="445"/>
      <c r="L118" s="984"/>
      <c r="M118" s="413"/>
      <c r="N118" s="984"/>
      <c r="O118" s="984"/>
      <c r="P118" s="466"/>
      <c r="Q118" s="466"/>
      <c r="R118" s="466"/>
      <c r="S118" s="466"/>
      <c r="T118" s="417"/>
      <c r="U118" s="417"/>
      <c r="V118" s="453"/>
      <c r="W118" s="889"/>
      <c r="X118" s="213"/>
      <c r="Y118" s="883"/>
    </row>
    <row r="119" spans="1:25" ht="38.25">
      <c r="A119" s="326"/>
      <c r="B119" s="240">
        <v>52050010001</v>
      </c>
      <c r="C119" s="240" t="s">
        <v>103</v>
      </c>
      <c r="D119" s="235" t="s">
        <v>2641</v>
      </c>
      <c r="E119" s="417"/>
      <c r="F119" s="466">
        <v>0</v>
      </c>
      <c r="G119" s="213"/>
      <c r="H119" s="466">
        <f t="shared" ref="H119:H120" si="63">H120</f>
        <v>1</v>
      </c>
      <c r="I119" s="213"/>
      <c r="J119" s="863"/>
      <c r="K119" s="445">
        <f t="shared" ref="K119:K120" si="64">K120</f>
        <v>2</v>
      </c>
      <c r="L119" s="984"/>
      <c r="M119" s="413"/>
      <c r="N119" s="984"/>
      <c r="O119" s="984"/>
      <c r="P119" s="466"/>
      <c r="Q119" s="466"/>
      <c r="R119" s="466"/>
      <c r="S119" s="466"/>
      <c r="T119" s="417"/>
      <c r="U119" s="417"/>
      <c r="V119" s="453"/>
      <c r="W119" s="889"/>
      <c r="X119" s="213"/>
      <c r="Y119" s="883"/>
    </row>
    <row r="120" spans="1:25">
      <c r="A120" s="2823">
        <v>4148</v>
      </c>
      <c r="B120" s="2823"/>
      <c r="C120" s="2823" t="s">
        <v>109</v>
      </c>
      <c r="D120" s="3027" t="s">
        <v>2642</v>
      </c>
      <c r="E120" s="863" t="s">
        <v>2643</v>
      </c>
      <c r="F120" s="466"/>
      <c r="G120" s="213"/>
      <c r="H120" s="466">
        <f t="shared" si="63"/>
        <v>1</v>
      </c>
      <c r="I120" s="213"/>
      <c r="J120" s="863"/>
      <c r="K120" s="445">
        <f t="shared" si="64"/>
        <v>2</v>
      </c>
      <c r="L120" s="984">
        <f>SUM(L121:L122)</f>
        <v>1</v>
      </c>
      <c r="M120" s="413"/>
      <c r="N120" s="984">
        <f>SUM(N121:N122)</f>
        <v>0.61</v>
      </c>
      <c r="O120" s="3156">
        <f>IF(Q120&gt;0,N120,"na")</f>
        <v>0.61</v>
      </c>
      <c r="P120" s="466">
        <f t="shared" ref="P120:S120" si="65">SUM(P121:P122)</f>
        <v>460047694</v>
      </c>
      <c r="Q120" s="466">
        <f t="shared" si="65"/>
        <v>460047694</v>
      </c>
      <c r="R120" s="466">
        <f t="shared" si="65"/>
        <v>374454711</v>
      </c>
      <c r="S120" s="466">
        <f t="shared" si="65"/>
        <v>71173000</v>
      </c>
      <c r="T120" s="2253">
        <f t="shared" ref="T120:U126" si="66">IF(Q120=0,0,R120/Q120)</f>
        <v>0.81394758822549385</v>
      </c>
      <c r="U120" s="2253">
        <f t="shared" si="66"/>
        <v>0.19007104974037836</v>
      </c>
      <c r="V120" s="453"/>
      <c r="W120" s="889"/>
      <c r="X120" s="2260"/>
      <c r="Y120" s="2841" t="s">
        <v>2474</v>
      </c>
    </row>
    <row r="121" spans="1:25" ht="148.5">
      <c r="A121" s="2875"/>
      <c r="B121" s="2875"/>
      <c r="C121" s="2875"/>
      <c r="D121" s="2875"/>
      <c r="E121" s="417" t="s">
        <v>2644</v>
      </c>
      <c r="F121" s="466"/>
      <c r="G121" s="213" t="s">
        <v>2641</v>
      </c>
      <c r="H121" s="466">
        <v>1</v>
      </c>
      <c r="I121" s="213" t="s">
        <v>2645</v>
      </c>
      <c r="J121" s="213" t="s">
        <v>2646</v>
      </c>
      <c r="K121" s="445">
        <v>2</v>
      </c>
      <c r="L121" s="984">
        <v>0.61</v>
      </c>
      <c r="M121" s="413">
        <v>1</v>
      </c>
      <c r="N121" s="984">
        <v>0.52</v>
      </c>
      <c r="O121" s="2875"/>
      <c r="P121" s="466">
        <v>280745694</v>
      </c>
      <c r="Q121" s="466">
        <v>280745694</v>
      </c>
      <c r="R121" s="466">
        <v>259277711</v>
      </c>
      <c r="S121" s="466">
        <v>0</v>
      </c>
      <c r="T121" s="2253">
        <f t="shared" si="66"/>
        <v>0.92353228042742486</v>
      </c>
      <c r="U121" s="2253">
        <f t="shared" si="66"/>
        <v>0</v>
      </c>
      <c r="V121" s="453">
        <v>45442</v>
      </c>
      <c r="W121" s="889">
        <v>45626</v>
      </c>
      <c r="X121" s="213" t="s">
        <v>5339</v>
      </c>
      <c r="Y121" s="3146"/>
    </row>
    <row r="122" spans="1:25" ht="108">
      <c r="A122" s="2876"/>
      <c r="B122" s="2876"/>
      <c r="C122" s="2876"/>
      <c r="D122" s="2876"/>
      <c r="E122" s="417" t="s">
        <v>2647</v>
      </c>
      <c r="F122" s="466"/>
      <c r="G122" s="213"/>
      <c r="H122" s="466"/>
      <c r="I122" s="213" t="s">
        <v>2648</v>
      </c>
      <c r="J122" s="863" t="s">
        <v>2649</v>
      </c>
      <c r="K122" s="445">
        <v>3</v>
      </c>
      <c r="L122" s="984">
        <v>0.39</v>
      </c>
      <c r="M122" s="413">
        <v>0</v>
      </c>
      <c r="N122" s="984">
        <v>0.09</v>
      </c>
      <c r="O122" s="2876"/>
      <c r="P122" s="466">
        <v>179302000</v>
      </c>
      <c r="Q122" s="466">
        <v>179302000</v>
      </c>
      <c r="R122" s="466">
        <v>115177000</v>
      </c>
      <c r="S122" s="466">
        <v>71173000</v>
      </c>
      <c r="T122" s="2253">
        <f t="shared" si="66"/>
        <v>0.64236316382416259</v>
      </c>
      <c r="U122" s="2253">
        <f t="shared" si="66"/>
        <v>0.61794455490245448</v>
      </c>
      <c r="V122" s="453">
        <v>45322</v>
      </c>
      <c r="W122" s="889">
        <v>45596</v>
      </c>
      <c r="X122" s="213" t="s">
        <v>5340</v>
      </c>
      <c r="Y122" s="3147"/>
    </row>
    <row r="123" spans="1:25">
      <c r="A123" s="2823">
        <v>4148</v>
      </c>
      <c r="B123" s="3021"/>
      <c r="C123" s="2823" t="s">
        <v>109</v>
      </c>
      <c r="D123" s="3157" t="s">
        <v>5341</v>
      </c>
      <c r="E123" s="417" t="s">
        <v>5342</v>
      </c>
      <c r="F123" s="466"/>
      <c r="G123" s="213"/>
      <c r="H123" s="466"/>
      <c r="I123" s="213"/>
      <c r="J123" s="863"/>
      <c r="K123" s="921"/>
      <c r="L123" s="984"/>
      <c r="M123" s="413"/>
      <c r="N123" s="984">
        <f>N124</f>
        <v>0</v>
      </c>
      <c r="O123" s="3156">
        <f>IF(Q123&gt;0,N123,"na")</f>
        <v>0</v>
      </c>
      <c r="P123" s="466">
        <f t="shared" ref="P123:S123" si="67">P124</f>
        <v>0</v>
      </c>
      <c r="Q123" s="466">
        <f t="shared" si="67"/>
        <v>13487276033</v>
      </c>
      <c r="R123" s="466">
        <f t="shared" si="67"/>
        <v>11571833911</v>
      </c>
      <c r="S123" s="466">
        <f t="shared" si="67"/>
        <v>0</v>
      </c>
      <c r="T123" s="2253">
        <f t="shared" si="66"/>
        <v>0.85798154369248536</v>
      </c>
      <c r="U123" s="2253">
        <f t="shared" si="66"/>
        <v>0</v>
      </c>
      <c r="V123" s="453"/>
      <c r="W123" s="889"/>
      <c r="X123" s="213"/>
      <c r="Y123" s="2286"/>
    </row>
    <row r="124" spans="1:25" ht="67.5">
      <c r="A124" s="2876"/>
      <c r="B124" s="2876"/>
      <c r="C124" s="2876"/>
      <c r="D124" s="2876"/>
      <c r="E124" s="417" t="s">
        <v>5343</v>
      </c>
      <c r="F124" s="466"/>
      <c r="G124" s="213" t="s">
        <v>2641</v>
      </c>
      <c r="H124" s="466">
        <v>0</v>
      </c>
      <c r="I124" s="213" t="s">
        <v>5344</v>
      </c>
      <c r="J124" s="213" t="s">
        <v>2578</v>
      </c>
      <c r="K124" s="413">
        <v>1</v>
      </c>
      <c r="L124" s="984">
        <v>1</v>
      </c>
      <c r="M124" s="413">
        <v>0</v>
      </c>
      <c r="N124" s="984">
        <v>0</v>
      </c>
      <c r="O124" s="2876"/>
      <c r="P124" s="466">
        <v>0</v>
      </c>
      <c r="Q124" s="466">
        <v>13487276033</v>
      </c>
      <c r="R124" s="466">
        <v>11571833911</v>
      </c>
      <c r="S124" s="466">
        <v>0</v>
      </c>
      <c r="T124" s="2253">
        <f t="shared" si="66"/>
        <v>0.85798154369248536</v>
      </c>
      <c r="U124" s="2253">
        <f t="shared" si="66"/>
        <v>0</v>
      </c>
      <c r="V124" s="453">
        <v>45467</v>
      </c>
      <c r="W124" s="889">
        <v>45638</v>
      </c>
      <c r="X124" s="213" t="s">
        <v>5345</v>
      </c>
      <c r="Y124" s="2287" t="s">
        <v>2474</v>
      </c>
    </row>
    <row r="125" spans="1:25">
      <c r="A125" s="2823">
        <v>4148</v>
      </c>
      <c r="B125" s="3021"/>
      <c r="C125" s="2823" t="s">
        <v>109</v>
      </c>
      <c r="D125" s="3157" t="s">
        <v>5346</v>
      </c>
      <c r="E125" s="417" t="s">
        <v>5347</v>
      </c>
      <c r="F125" s="466"/>
      <c r="G125" s="213"/>
      <c r="H125" s="466"/>
      <c r="I125" s="213"/>
      <c r="J125" s="863"/>
      <c r="K125" s="984"/>
      <c r="L125" s="984"/>
      <c r="M125" s="413"/>
      <c r="N125" s="984">
        <f>N126</f>
        <v>0</v>
      </c>
      <c r="O125" s="3156">
        <f>IF(Q125&gt;0,N125,"na")</f>
        <v>0</v>
      </c>
      <c r="P125" s="466">
        <f t="shared" ref="P125:S125" si="68">P126</f>
        <v>0</v>
      </c>
      <c r="Q125" s="466">
        <f t="shared" si="68"/>
        <v>4000000000</v>
      </c>
      <c r="R125" s="466">
        <f t="shared" si="68"/>
        <v>0</v>
      </c>
      <c r="S125" s="466">
        <f t="shared" si="68"/>
        <v>0</v>
      </c>
      <c r="T125" s="2253">
        <f t="shared" si="66"/>
        <v>0</v>
      </c>
      <c r="U125" s="2253">
        <f t="shared" si="66"/>
        <v>0</v>
      </c>
      <c r="V125" s="453"/>
      <c r="W125" s="889"/>
      <c r="X125" s="213"/>
      <c r="Y125" s="2286"/>
    </row>
    <row r="126" spans="1:25" ht="54">
      <c r="A126" s="2876"/>
      <c r="B126" s="2876"/>
      <c r="C126" s="2876"/>
      <c r="D126" s="2876"/>
      <c r="E126" s="417" t="s">
        <v>5348</v>
      </c>
      <c r="F126" s="466"/>
      <c r="G126" s="213" t="s">
        <v>2641</v>
      </c>
      <c r="H126" s="466">
        <v>0</v>
      </c>
      <c r="I126" s="213" t="s">
        <v>5349</v>
      </c>
      <c r="J126" s="213" t="s">
        <v>2578</v>
      </c>
      <c r="K126" s="921">
        <v>9</v>
      </c>
      <c r="L126" s="984">
        <v>1</v>
      </c>
      <c r="M126" s="413">
        <v>0</v>
      </c>
      <c r="N126" s="984">
        <v>0</v>
      </c>
      <c r="O126" s="2876"/>
      <c r="P126" s="466">
        <v>0</v>
      </c>
      <c r="Q126" s="466">
        <v>4000000000</v>
      </c>
      <c r="R126" s="466">
        <v>0</v>
      </c>
      <c r="S126" s="466">
        <v>0</v>
      </c>
      <c r="T126" s="2253">
        <f t="shared" si="66"/>
        <v>0</v>
      </c>
      <c r="U126" s="2253">
        <f t="shared" si="66"/>
        <v>0</v>
      </c>
      <c r="V126" s="453"/>
      <c r="W126" s="889"/>
      <c r="X126" s="213"/>
      <c r="Y126" s="2287" t="s">
        <v>2474</v>
      </c>
    </row>
    <row r="127" spans="1:25" ht="38.25">
      <c r="A127" s="326"/>
      <c r="B127" s="240">
        <v>52050010002</v>
      </c>
      <c r="C127" s="240" t="s">
        <v>103</v>
      </c>
      <c r="D127" s="235" t="s">
        <v>2650</v>
      </c>
      <c r="E127" s="417"/>
      <c r="F127" s="466">
        <v>0</v>
      </c>
      <c r="G127" s="213"/>
      <c r="H127" s="466">
        <f>H128+H131+H134+H136</f>
        <v>0</v>
      </c>
      <c r="I127" s="213"/>
      <c r="J127" s="863"/>
      <c r="K127" s="2288">
        <f>K128+K131+K134+K136</f>
        <v>6</v>
      </c>
      <c r="L127" s="984"/>
      <c r="M127" s="413"/>
      <c r="N127" s="984"/>
      <c r="O127" s="984"/>
      <c r="P127" s="466"/>
      <c r="Q127" s="466"/>
      <c r="R127" s="466"/>
      <c r="S127" s="466"/>
      <c r="T127" s="417"/>
      <c r="U127" s="417"/>
      <c r="V127" s="453"/>
      <c r="W127" s="889"/>
      <c r="X127" s="213"/>
      <c r="Y127" s="883"/>
    </row>
    <row r="128" spans="1:25">
      <c r="A128" s="2823">
        <v>4148</v>
      </c>
      <c r="B128" s="2823"/>
      <c r="C128" s="2823" t="s">
        <v>109</v>
      </c>
      <c r="D128" s="3027" t="s">
        <v>2651</v>
      </c>
      <c r="E128" s="863" t="s">
        <v>2652</v>
      </c>
      <c r="F128" s="466"/>
      <c r="G128" s="213"/>
      <c r="H128" s="466">
        <f>H129</f>
        <v>0</v>
      </c>
      <c r="I128" s="213"/>
      <c r="J128" s="863"/>
      <c r="K128" s="445">
        <f>K129</f>
        <v>1</v>
      </c>
      <c r="L128" s="984">
        <f>SUM(L129:L130)</f>
        <v>1</v>
      </c>
      <c r="M128" s="413"/>
      <c r="N128" s="984">
        <f>SUM(N129:N130)</f>
        <v>0.22</v>
      </c>
      <c r="O128" s="3156">
        <f>IF(Q128&gt;0,N128,"na")</f>
        <v>0.22</v>
      </c>
      <c r="P128" s="466">
        <f t="shared" ref="P128:S128" si="69">SUM(P129:P130)</f>
        <v>2000000000</v>
      </c>
      <c r="Q128" s="466">
        <f t="shared" si="69"/>
        <v>2163800000</v>
      </c>
      <c r="R128" s="466">
        <f t="shared" si="69"/>
        <v>325765757</v>
      </c>
      <c r="S128" s="466">
        <f t="shared" si="69"/>
        <v>164796500</v>
      </c>
      <c r="T128" s="2253">
        <f t="shared" ref="T128:U137" si="70">IF(Q128=0,0,R128/Q128)</f>
        <v>0.15055261900360478</v>
      </c>
      <c r="U128" s="2253">
        <f t="shared" si="70"/>
        <v>0.50587422544844085</v>
      </c>
      <c r="V128" s="453"/>
      <c r="W128" s="889"/>
      <c r="X128" s="2260"/>
      <c r="Y128" s="2841" t="s">
        <v>2474</v>
      </c>
    </row>
    <row r="129" spans="1:25" ht="54">
      <c r="A129" s="2875"/>
      <c r="B129" s="2875"/>
      <c r="C129" s="2875"/>
      <c r="D129" s="2875"/>
      <c r="E129" s="417" t="s">
        <v>2653</v>
      </c>
      <c r="F129" s="466"/>
      <c r="G129" s="213" t="s">
        <v>2650</v>
      </c>
      <c r="H129" s="466">
        <v>0</v>
      </c>
      <c r="I129" s="213" t="s">
        <v>2654</v>
      </c>
      <c r="J129" s="213" t="s">
        <v>2606</v>
      </c>
      <c r="K129" s="445">
        <v>1</v>
      </c>
      <c r="L129" s="984">
        <v>0.9</v>
      </c>
      <c r="M129" s="413">
        <v>0</v>
      </c>
      <c r="N129" s="984">
        <v>0.18</v>
      </c>
      <c r="O129" s="2875"/>
      <c r="P129" s="466">
        <v>1506610000</v>
      </c>
      <c r="Q129" s="466">
        <v>1820410000</v>
      </c>
      <c r="R129" s="466">
        <v>49017257</v>
      </c>
      <c r="S129" s="466">
        <v>0</v>
      </c>
      <c r="T129" s="2253">
        <f t="shared" si="70"/>
        <v>2.6926492932910717E-2</v>
      </c>
      <c r="U129" s="2253">
        <f t="shared" si="70"/>
        <v>0</v>
      </c>
      <c r="V129" s="453">
        <v>45386</v>
      </c>
      <c r="W129" s="889">
        <v>45624</v>
      </c>
      <c r="X129" s="1035" t="s">
        <v>5350</v>
      </c>
      <c r="Y129" s="3146"/>
    </row>
    <row r="130" spans="1:25" ht="189">
      <c r="A130" s="2876"/>
      <c r="B130" s="2876"/>
      <c r="C130" s="2876"/>
      <c r="D130" s="2876"/>
      <c r="E130" s="417" t="s">
        <v>2655</v>
      </c>
      <c r="F130" s="466"/>
      <c r="G130" s="213"/>
      <c r="H130" s="466"/>
      <c r="I130" s="213" t="s">
        <v>2656</v>
      </c>
      <c r="J130" s="213" t="s">
        <v>2657</v>
      </c>
      <c r="K130" s="445">
        <v>1</v>
      </c>
      <c r="L130" s="984">
        <v>0.1</v>
      </c>
      <c r="M130" s="413">
        <v>0</v>
      </c>
      <c r="N130" s="984">
        <v>0.04</v>
      </c>
      <c r="O130" s="2876"/>
      <c r="P130" s="466">
        <v>493390000</v>
      </c>
      <c r="Q130" s="466">
        <v>343390000</v>
      </c>
      <c r="R130" s="466">
        <v>276748500</v>
      </c>
      <c r="S130" s="466">
        <v>164796500</v>
      </c>
      <c r="T130" s="2253">
        <f t="shared" si="70"/>
        <v>0.80593057456536299</v>
      </c>
      <c r="U130" s="2253">
        <f t="shared" si="70"/>
        <v>0.59547386887372467</v>
      </c>
      <c r="V130" s="453">
        <v>45322</v>
      </c>
      <c r="W130" s="889">
        <v>45596</v>
      </c>
      <c r="X130" s="2289" t="s">
        <v>5351</v>
      </c>
      <c r="Y130" s="3147"/>
    </row>
    <row r="131" spans="1:25">
      <c r="A131" s="2823">
        <v>4148</v>
      </c>
      <c r="B131" s="2823"/>
      <c r="C131" s="2823" t="s">
        <v>109</v>
      </c>
      <c r="D131" s="3027" t="s">
        <v>2658</v>
      </c>
      <c r="E131" s="863" t="s">
        <v>2659</v>
      </c>
      <c r="F131" s="466"/>
      <c r="G131" s="213"/>
      <c r="H131" s="466">
        <f>H132</f>
        <v>0</v>
      </c>
      <c r="I131" s="213"/>
      <c r="J131" s="863"/>
      <c r="K131" s="445">
        <f>K132</f>
        <v>2</v>
      </c>
      <c r="L131" s="984">
        <f>SUM(L132:L133)</f>
        <v>1</v>
      </c>
      <c r="M131" s="413"/>
      <c r="N131" s="984">
        <f>SUM(N132:N133)</f>
        <v>0.25800000000000001</v>
      </c>
      <c r="O131" s="3156">
        <f>IF(Q131&gt;0,N131,"na")</f>
        <v>0.25800000000000001</v>
      </c>
      <c r="P131" s="466">
        <f t="shared" ref="P131:S131" si="71">SUM(P132:P133)</f>
        <v>412185091</v>
      </c>
      <c r="Q131" s="466">
        <f t="shared" si="71"/>
        <v>412185091</v>
      </c>
      <c r="R131" s="466">
        <f t="shared" si="71"/>
        <v>304479432</v>
      </c>
      <c r="S131" s="466">
        <f t="shared" si="71"/>
        <v>55967000</v>
      </c>
      <c r="T131" s="2253">
        <f t="shared" si="70"/>
        <v>0.73869588844493161</v>
      </c>
      <c r="U131" s="2253">
        <f t="shared" si="70"/>
        <v>0.18381208751072553</v>
      </c>
      <c r="V131" s="453"/>
      <c r="W131" s="889"/>
      <c r="X131" s="2260"/>
      <c r="Y131" s="2841" t="s">
        <v>2474</v>
      </c>
    </row>
    <row r="132" spans="1:25" ht="148.5">
      <c r="A132" s="2875"/>
      <c r="B132" s="2875"/>
      <c r="C132" s="2875"/>
      <c r="D132" s="2875"/>
      <c r="E132" s="417" t="s">
        <v>2660</v>
      </c>
      <c r="F132" s="422"/>
      <c r="G132" s="880" t="s">
        <v>2650</v>
      </c>
      <c r="H132" s="466">
        <v>0</v>
      </c>
      <c r="I132" s="213" t="s">
        <v>2661</v>
      </c>
      <c r="J132" s="213" t="s">
        <v>2662</v>
      </c>
      <c r="K132" s="445">
        <v>2</v>
      </c>
      <c r="L132" s="984">
        <v>0.48</v>
      </c>
      <c r="M132" s="413">
        <v>0</v>
      </c>
      <c r="N132" s="984">
        <v>0.25800000000000001</v>
      </c>
      <c r="O132" s="2875"/>
      <c r="P132" s="466">
        <v>262328652</v>
      </c>
      <c r="Q132" s="466">
        <v>262328652</v>
      </c>
      <c r="R132" s="466">
        <v>154622993</v>
      </c>
      <c r="S132" s="466">
        <v>55967000</v>
      </c>
      <c r="T132" s="2253">
        <f t="shared" si="70"/>
        <v>0.58942472284727787</v>
      </c>
      <c r="U132" s="2253">
        <f t="shared" si="70"/>
        <v>0.3619578105049357</v>
      </c>
      <c r="V132" s="453">
        <v>45343</v>
      </c>
      <c r="W132" s="889">
        <v>45611</v>
      </c>
      <c r="X132" s="213" t="s">
        <v>5352</v>
      </c>
      <c r="Y132" s="3146"/>
    </row>
    <row r="133" spans="1:25" ht="54">
      <c r="A133" s="2876"/>
      <c r="B133" s="2876"/>
      <c r="C133" s="2876"/>
      <c r="D133" s="2876"/>
      <c r="E133" s="417" t="s">
        <v>2663</v>
      </c>
      <c r="F133" s="466"/>
      <c r="G133" s="902"/>
      <c r="H133" s="2290"/>
      <c r="I133" s="213" t="s">
        <v>2664</v>
      </c>
      <c r="J133" s="863" t="s">
        <v>2539</v>
      </c>
      <c r="K133" s="445">
        <v>4</v>
      </c>
      <c r="L133" s="984">
        <v>0.52</v>
      </c>
      <c r="M133" s="413">
        <v>0</v>
      </c>
      <c r="N133" s="984">
        <v>0</v>
      </c>
      <c r="O133" s="2876"/>
      <c r="P133" s="466">
        <v>149856439</v>
      </c>
      <c r="Q133" s="466">
        <v>149856439</v>
      </c>
      <c r="R133" s="466">
        <v>149856439</v>
      </c>
      <c r="S133" s="466">
        <v>0</v>
      </c>
      <c r="T133" s="2253">
        <f t="shared" si="70"/>
        <v>1</v>
      </c>
      <c r="U133" s="2253">
        <f t="shared" si="70"/>
        <v>0</v>
      </c>
      <c r="V133" s="453">
        <v>45471</v>
      </c>
      <c r="W133" s="889">
        <v>45611</v>
      </c>
      <c r="X133" s="2260" t="s">
        <v>5353</v>
      </c>
      <c r="Y133" s="3147"/>
    </row>
    <row r="134" spans="1:25">
      <c r="A134" s="2823">
        <v>4148</v>
      </c>
      <c r="B134" s="2823"/>
      <c r="C134" s="2823" t="s">
        <v>109</v>
      </c>
      <c r="D134" s="3027" t="s">
        <v>2665</v>
      </c>
      <c r="E134" s="863" t="s">
        <v>2666</v>
      </c>
      <c r="F134" s="466"/>
      <c r="G134" s="2177"/>
      <c r="H134" s="2282">
        <f>H135</f>
        <v>0</v>
      </c>
      <c r="I134" s="213"/>
      <c r="J134" s="863"/>
      <c r="K134" s="445">
        <v>2</v>
      </c>
      <c r="L134" s="984">
        <f>L135</f>
        <v>1</v>
      </c>
      <c r="M134" s="413"/>
      <c r="N134" s="984">
        <f>N135</f>
        <v>0</v>
      </c>
      <c r="O134" s="3156">
        <f>IF(Q134&gt;0,N134,"na")</f>
        <v>0</v>
      </c>
      <c r="P134" s="466">
        <f t="shared" ref="P134:S134" si="72">P135</f>
        <v>200000000</v>
      </c>
      <c r="Q134" s="466">
        <f t="shared" si="72"/>
        <v>200000000</v>
      </c>
      <c r="R134" s="466">
        <f t="shared" si="72"/>
        <v>0</v>
      </c>
      <c r="S134" s="466">
        <f t="shared" si="72"/>
        <v>0</v>
      </c>
      <c r="T134" s="2253">
        <f t="shared" si="70"/>
        <v>0</v>
      </c>
      <c r="U134" s="2253">
        <f t="shared" si="70"/>
        <v>0</v>
      </c>
      <c r="V134" s="453"/>
      <c r="W134" s="889"/>
      <c r="X134" s="2260"/>
      <c r="Y134" s="2841" t="s">
        <v>2474</v>
      </c>
    </row>
    <row r="135" spans="1:25" ht="54">
      <c r="A135" s="2876"/>
      <c r="B135" s="2876"/>
      <c r="C135" s="2876"/>
      <c r="D135" s="2876"/>
      <c r="E135" s="863" t="s">
        <v>2667</v>
      </c>
      <c r="F135" s="422"/>
      <c r="G135" s="213" t="s">
        <v>2650</v>
      </c>
      <c r="H135" s="466">
        <v>0</v>
      </c>
      <c r="I135" s="213" t="s">
        <v>2668</v>
      </c>
      <c r="J135" s="863" t="s">
        <v>2669</v>
      </c>
      <c r="K135" s="445">
        <v>2</v>
      </c>
      <c r="L135" s="984">
        <v>1</v>
      </c>
      <c r="M135" s="413">
        <v>0</v>
      </c>
      <c r="N135" s="984">
        <v>0</v>
      </c>
      <c r="O135" s="2876"/>
      <c r="P135" s="466">
        <v>200000000</v>
      </c>
      <c r="Q135" s="466">
        <v>200000000</v>
      </c>
      <c r="R135" s="466">
        <v>0</v>
      </c>
      <c r="S135" s="466">
        <v>0</v>
      </c>
      <c r="T135" s="2253">
        <f t="shared" si="70"/>
        <v>0</v>
      </c>
      <c r="U135" s="2253">
        <f t="shared" si="70"/>
        <v>0</v>
      </c>
      <c r="V135" s="453"/>
      <c r="W135" s="889"/>
      <c r="X135" s="2260"/>
      <c r="Y135" s="3147"/>
    </row>
    <row r="136" spans="1:25">
      <c r="A136" s="2823">
        <v>4148</v>
      </c>
      <c r="B136" s="2823"/>
      <c r="C136" s="2823" t="s">
        <v>109</v>
      </c>
      <c r="D136" s="3027" t="s">
        <v>2670</v>
      </c>
      <c r="E136" s="863" t="s">
        <v>2671</v>
      </c>
      <c r="F136" s="466"/>
      <c r="G136" s="213"/>
      <c r="H136" s="466">
        <f>H137</f>
        <v>0</v>
      </c>
      <c r="I136" s="213"/>
      <c r="J136" s="863"/>
      <c r="K136" s="445">
        <f t="shared" ref="K136:L136" si="73">K137</f>
        <v>1</v>
      </c>
      <c r="L136" s="984">
        <f t="shared" si="73"/>
        <v>1</v>
      </c>
      <c r="M136" s="413"/>
      <c r="N136" s="984">
        <f>N137</f>
        <v>0</v>
      </c>
      <c r="O136" s="3156">
        <f>IF(Q136&gt;0,N136,"na")</f>
        <v>0</v>
      </c>
      <c r="P136" s="466">
        <f t="shared" ref="P136:S136" si="74">P137</f>
        <v>150000000</v>
      </c>
      <c r="Q136" s="466">
        <f t="shared" si="74"/>
        <v>906934882</v>
      </c>
      <c r="R136" s="466">
        <f t="shared" si="74"/>
        <v>91809908</v>
      </c>
      <c r="S136" s="466">
        <f t="shared" si="74"/>
        <v>0</v>
      </c>
      <c r="T136" s="2253">
        <f t="shared" si="70"/>
        <v>0.10123098121172497</v>
      </c>
      <c r="U136" s="2253">
        <f t="shared" si="70"/>
        <v>0</v>
      </c>
      <c r="V136" s="453"/>
      <c r="W136" s="889"/>
      <c r="X136" s="2260"/>
      <c r="Y136" s="2291"/>
    </row>
    <row r="137" spans="1:25" ht="54">
      <c r="A137" s="2876"/>
      <c r="B137" s="2876"/>
      <c r="C137" s="2876"/>
      <c r="D137" s="2876"/>
      <c r="E137" s="863" t="s">
        <v>2672</v>
      </c>
      <c r="F137" s="466"/>
      <c r="G137" s="213" t="s">
        <v>2650</v>
      </c>
      <c r="H137" s="466">
        <v>0</v>
      </c>
      <c r="I137" s="213" t="s">
        <v>2673</v>
      </c>
      <c r="J137" s="863" t="s">
        <v>2606</v>
      </c>
      <c r="K137" s="445">
        <v>1</v>
      </c>
      <c r="L137" s="984">
        <v>1</v>
      </c>
      <c r="M137" s="413">
        <v>0</v>
      </c>
      <c r="N137" s="984">
        <v>0</v>
      </c>
      <c r="O137" s="2876"/>
      <c r="P137" s="466">
        <v>150000000</v>
      </c>
      <c r="Q137" s="466">
        <v>906934882</v>
      </c>
      <c r="R137" s="466">
        <v>91809908</v>
      </c>
      <c r="S137" s="466">
        <v>0</v>
      </c>
      <c r="T137" s="2253">
        <f t="shared" si="70"/>
        <v>0.10123098121172497</v>
      </c>
      <c r="U137" s="2253">
        <f t="shared" si="70"/>
        <v>0</v>
      </c>
      <c r="V137" s="453">
        <v>45471</v>
      </c>
      <c r="W137" s="889">
        <v>45524</v>
      </c>
      <c r="X137" s="213" t="s">
        <v>5353</v>
      </c>
      <c r="Y137" s="885" t="s">
        <v>2474</v>
      </c>
    </row>
    <row r="138" spans="1:25" ht="38.25">
      <c r="A138" s="326"/>
      <c r="B138" s="240">
        <v>52050010003</v>
      </c>
      <c r="C138" s="240" t="s">
        <v>103</v>
      </c>
      <c r="D138" s="235" t="s">
        <v>2674</v>
      </c>
      <c r="E138" s="417"/>
      <c r="F138" s="466">
        <v>0</v>
      </c>
      <c r="G138" s="213"/>
      <c r="H138" s="466">
        <f>H139+H142+H144</f>
        <v>0</v>
      </c>
      <c r="I138" s="213"/>
      <c r="J138" s="863"/>
      <c r="K138" s="445">
        <f>K139+K142+K144</f>
        <v>3</v>
      </c>
      <c r="L138" s="984"/>
      <c r="M138" s="413"/>
      <c r="N138" s="984"/>
      <c r="O138" s="984"/>
      <c r="P138" s="466"/>
      <c r="Q138" s="466"/>
      <c r="R138" s="466"/>
      <c r="S138" s="466"/>
      <c r="T138" s="417"/>
      <c r="U138" s="417"/>
      <c r="V138" s="453"/>
      <c r="W138" s="889"/>
      <c r="X138" s="213"/>
      <c r="Y138" s="883"/>
    </row>
    <row r="139" spans="1:25">
      <c r="A139" s="2823">
        <v>4148</v>
      </c>
      <c r="B139" s="2823"/>
      <c r="C139" s="2823" t="s">
        <v>109</v>
      </c>
      <c r="D139" s="3027" t="s">
        <v>2675</v>
      </c>
      <c r="E139" s="863" t="s">
        <v>2676</v>
      </c>
      <c r="F139" s="466"/>
      <c r="G139" s="213"/>
      <c r="H139" s="466">
        <f>H140</f>
        <v>0</v>
      </c>
      <c r="I139" s="213"/>
      <c r="J139" s="863"/>
      <c r="K139" s="445">
        <f>K141</f>
        <v>1</v>
      </c>
      <c r="L139" s="984">
        <f>SUM(L140:L141)</f>
        <v>1</v>
      </c>
      <c r="M139" s="413"/>
      <c r="N139" s="984">
        <f>SUM(N140:N141)</f>
        <v>0.224</v>
      </c>
      <c r="O139" s="3156">
        <f>IF(Q139&gt;0,N139,"na")</f>
        <v>0.224</v>
      </c>
      <c r="P139" s="466">
        <f t="shared" ref="P139:S139" si="75">SUM(P140:P141)</f>
        <v>89782950</v>
      </c>
      <c r="Q139" s="466">
        <f t="shared" si="75"/>
        <v>89782950</v>
      </c>
      <c r="R139" s="466">
        <f t="shared" si="75"/>
        <v>53490000</v>
      </c>
      <c r="S139" s="466">
        <f t="shared" si="75"/>
        <v>19338000</v>
      </c>
      <c r="T139" s="2253">
        <f t="shared" ref="T139:U145" si="76">IF(Q139=0,0,R139/Q139)</f>
        <v>0.59577013230240261</v>
      </c>
      <c r="U139" s="2253">
        <f t="shared" si="76"/>
        <v>0.3615255187885586</v>
      </c>
      <c r="V139" s="453"/>
      <c r="W139" s="889"/>
      <c r="X139" s="2260"/>
      <c r="Y139" s="2841" t="s">
        <v>2474</v>
      </c>
    </row>
    <row r="140" spans="1:25" ht="54">
      <c r="A140" s="2875"/>
      <c r="B140" s="2875"/>
      <c r="C140" s="2875"/>
      <c r="D140" s="2875"/>
      <c r="E140" s="417" t="s">
        <v>2677</v>
      </c>
      <c r="F140" s="466"/>
      <c r="G140" s="213" t="s">
        <v>2674</v>
      </c>
      <c r="H140" s="466">
        <v>0</v>
      </c>
      <c r="I140" s="213" t="s">
        <v>2678</v>
      </c>
      <c r="J140" s="213" t="s">
        <v>2679</v>
      </c>
      <c r="K140" s="445">
        <v>1</v>
      </c>
      <c r="L140" s="984">
        <v>0.94</v>
      </c>
      <c r="M140" s="413">
        <v>0</v>
      </c>
      <c r="N140" s="984">
        <v>0.224</v>
      </c>
      <c r="O140" s="2875"/>
      <c r="P140" s="466">
        <v>83982000</v>
      </c>
      <c r="Q140" s="466">
        <v>83982000</v>
      </c>
      <c r="R140" s="466">
        <v>53490000</v>
      </c>
      <c r="S140" s="466">
        <v>19338000</v>
      </c>
      <c r="T140" s="2253">
        <f t="shared" si="76"/>
        <v>0.63692219761377433</v>
      </c>
      <c r="U140" s="2253">
        <f t="shared" si="76"/>
        <v>0.3615255187885586</v>
      </c>
      <c r="V140" s="453">
        <v>45355</v>
      </c>
      <c r="W140" s="889">
        <v>45596</v>
      </c>
      <c r="X140" s="213" t="s">
        <v>5354</v>
      </c>
      <c r="Y140" s="3146"/>
    </row>
    <row r="141" spans="1:25" ht="40.5">
      <c r="A141" s="2876"/>
      <c r="B141" s="2876"/>
      <c r="C141" s="2876"/>
      <c r="D141" s="2876"/>
      <c r="E141" s="417" t="s">
        <v>2680</v>
      </c>
      <c r="F141" s="466"/>
      <c r="G141" s="213"/>
      <c r="H141" s="466"/>
      <c r="I141" s="213" t="s">
        <v>2681</v>
      </c>
      <c r="J141" s="213" t="s">
        <v>2682</v>
      </c>
      <c r="K141" s="445">
        <v>1</v>
      </c>
      <c r="L141" s="984">
        <v>0.06</v>
      </c>
      <c r="M141" s="413">
        <v>0</v>
      </c>
      <c r="N141" s="984">
        <v>0</v>
      </c>
      <c r="O141" s="2876"/>
      <c r="P141" s="466">
        <v>5800950</v>
      </c>
      <c r="Q141" s="466">
        <v>5800950</v>
      </c>
      <c r="R141" s="466">
        <v>0</v>
      </c>
      <c r="S141" s="466">
        <v>0</v>
      </c>
      <c r="T141" s="2253">
        <f t="shared" si="76"/>
        <v>0</v>
      </c>
      <c r="U141" s="2253">
        <f t="shared" si="76"/>
        <v>0</v>
      </c>
      <c r="V141" s="453"/>
      <c r="W141" s="889"/>
      <c r="X141" s="213"/>
      <c r="Y141" s="3147"/>
    </row>
    <row r="142" spans="1:25">
      <c r="A142" s="2823">
        <v>4148</v>
      </c>
      <c r="B142" s="2823"/>
      <c r="C142" s="2823" t="s">
        <v>109</v>
      </c>
      <c r="D142" s="3027" t="s">
        <v>2683</v>
      </c>
      <c r="E142" s="863" t="s">
        <v>2684</v>
      </c>
      <c r="F142" s="466"/>
      <c r="G142" s="213"/>
      <c r="H142" s="466">
        <f>H143</f>
        <v>0</v>
      </c>
      <c r="I142" s="213"/>
      <c r="J142" s="863"/>
      <c r="K142" s="445">
        <v>1</v>
      </c>
      <c r="L142" s="984">
        <f>SUM(L143)</f>
        <v>1</v>
      </c>
      <c r="M142" s="413"/>
      <c r="N142" s="984">
        <f>SUM(N143)</f>
        <v>0</v>
      </c>
      <c r="O142" s="3156">
        <f>IF(Q142&gt;0,N142,"na")</f>
        <v>0</v>
      </c>
      <c r="P142" s="466">
        <f t="shared" ref="P142:S142" si="77">SUM(P143)</f>
        <v>195141349</v>
      </c>
      <c r="Q142" s="466">
        <f t="shared" si="77"/>
        <v>195141349</v>
      </c>
      <c r="R142" s="466">
        <f t="shared" si="77"/>
        <v>0</v>
      </c>
      <c r="S142" s="466">
        <f t="shared" si="77"/>
        <v>0</v>
      </c>
      <c r="T142" s="2253">
        <f t="shared" si="76"/>
        <v>0</v>
      </c>
      <c r="U142" s="2253">
        <f t="shared" si="76"/>
        <v>0</v>
      </c>
      <c r="V142" s="453"/>
      <c r="W142" s="889"/>
      <c r="X142" s="2260"/>
      <c r="Y142" s="2841" t="s">
        <v>2474</v>
      </c>
    </row>
    <row r="143" spans="1:25" ht="54">
      <c r="A143" s="2876"/>
      <c r="B143" s="2876"/>
      <c r="C143" s="2876"/>
      <c r="D143" s="2876"/>
      <c r="E143" s="417" t="s">
        <v>2685</v>
      </c>
      <c r="F143" s="466"/>
      <c r="G143" s="213" t="s">
        <v>2674</v>
      </c>
      <c r="H143" s="466">
        <v>0</v>
      </c>
      <c r="I143" s="213" t="s">
        <v>2686</v>
      </c>
      <c r="J143" s="213" t="s">
        <v>2687</v>
      </c>
      <c r="K143" s="445">
        <v>2</v>
      </c>
      <c r="L143" s="984">
        <v>1</v>
      </c>
      <c r="M143" s="413">
        <v>0</v>
      </c>
      <c r="N143" s="984">
        <v>0</v>
      </c>
      <c r="O143" s="2876"/>
      <c r="P143" s="466">
        <v>195141349</v>
      </c>
      <c r="Q143" s="466">
        <v>195141349</v>
      </c>
      <c r="R143" s="466">
        <v>0</v>
      </c>
      <c r="S143" s="466">
        <v>0</v>
      </c>
      <c r="T143" s="2253">
        <f t="shared" si="76"/>
        <v>0</v>
      </c>
      <c r="U143" s="2253">
        <f t="shared" si="76"/>
        <v>0</v>
      </c>
      <c r="V143" s="453"/>
      <c r="W143" s="889"/>
      <c r="X143" s="213"/>
      <c r="Y143" s="3147"/>
    </row>
    <row r="144" spans="1:25">
      <c r="A144" s="2823">
        <v>4148</v>
      </c>
      <c r="B144" s="2823"/>
      <c r="C144" s="2823" t="s">
        <v>109</v>
      </c>
      <c r="D144" s="3027" t="s">
        <v>2688</v>
      </c>
      <c r="E144" s="863" t="s">
        <v>2689</v>
      </c>
      <c r="F144" s="466"/>
      <c r="G144" s="213"/>
      <c r="H144" s="466">
        <f>H145</f>
        <v>0</v>
      </c>
      <c r="I144" s="213"/>
      <c r="J144" s="863"/>
      <c r="K144" s="445">
        <f>K145</f>
        <v>1</v>
      </c>
      <c r="L144" s="984">
        <f>SUM(L145)</f>
        <v>1</v>
      </c>
      <c r="M144" s="413"/>
      <c r="N144" s="984">
        <f>SUM(N145)</f>
        <v>0</v>
      </c>
      <c r="O144" s="3156">
        <f>IF(Q144&gt;0,N144,"na")</f>
        <v>0</v>
      </c>
      <c r="P144" s="466">
        <f t="shared" ref="P144:S144" si="78">SUM(P145)</f>
        <v>151000000</v>
      </c>
      <c r="Q144" s="466">
        <f t="shared" si="78"/>
        <v>151000000</v>
      </c>
      <c r="R144" s="466">
        <f t="shared" si="78"/>
        <v>0</v>
      </c>
      <c r="S144" s="466">
        <f t="shared" si="78"/>
        <v>0</v>
      </c>
      <c r="T144" s="2253">
        <f t="shared" si="76"/>
        <v>0</v>
      </c>
      <c r="U144" s="2253">
        <f t="shared" si="76"/>
        <v>0</v>
      </c>
      <c r="V144" s="453"/>
      <c r="W144" s="889"/>
      <c r="X144" s="2260"/>
      <c r="Y144" s="2841" t="s">
        <v>2474</v>
      </c>
    </row>
    <row r="145" spans="1:25" ht="54">
      <c r="A145" s="2876"/>
      <c r="B145" s="2876"/>
      <c r="C145" s="2876"/>
      <c r="D145" s="2876"/>
      <c r="E145" s="417" t="s">
        <v>2690</v>
      </c>
      <c r="F145" s="466"/>
      <c r="G145" s="213" t="s">
        <v>2674</v>
      </c>
      <c r="H145" s="466">
        <v>0</v>
      </c>
      <c r="I145" s="213" t="s">
        <v>2691</v>
      </c>
      <c r="J145" s="213" t="s">
        <v>2687</v>
      </c>
      <c r="K145" s="445">
        <v>1</v>
      </c>
      <c r="L145" s="984">
        <v>1</v>
      </c>
      <c r="M145" s="413">
        <v>0</v>
      </c>
      <c r="N145" s="984">
        <v>0</v>
      </c>
      <c r="O145" s="2876"/>
      <c r="P145" s="466">
        <v>151000000</v>
      </c>
      <c r="Q145" s="466">
        <v>151000000</v>
      </c>
      <c r="R145" s="466">
        <v>0</v>
      </c>
      <c r="S145" s="466">
        <v>0</v>
      </c>
      <c r="T145" s="2253">
        <f t="shared" si="76"/>
        <v>0</v>
      </c>
      <c r="U145" s="2253">
        <f t="shared" si="76"/>
        <v>0</v>
      </c>
      <c r="V145" s="453"/>
      <c r="W145" s="889"/>
      <c r="X145" s="213"/>
      <c r="Y145" s="3147"/>
    </row>
    <row r="146" spans="1:25" ht="25.5">
      <c r="A146" s="326"/>
      <c r="B146" s="240">
        <v>52050010004</v>
      </c>
      <c r="C146" s="240" t="s">
        <v>103</v>
      </c>
      <c r="D146" s="235" t="s">
        <v>2692</v>
      </c>
      <c r="E146" s="417"/>
      <c r="F146" s="466">
        <v>0</v>
      </c>
      <c r="G146" s="213"/>
      <c r="H146" s="466">
        <f t="shared" ref="H146:H147" si="79">H147</f>
        <v>0</v>
      </c>
      <c r="I146" s="213"/>
      <c r="J146" s="863"/>
      <c r="K146" s="445">
        <f>K147</f>
        <v>1</v>
      </c>
      <c r="L146" s="984"/>
      <c r="M146" s="413"/>
      <c r="N146" s="984"/>
      <c r="O146" s="984"/>
      <c r="P146" s="466"/>
      <c r="Q146" s="466"/>
      <c r="R146" s="466"/>
      <c r="S146" s="466"/>
      <c r="T146" s="417"/>
      <c r="U146" s="417"/>
      <c r="V146" s="453"/>
      <c r="W146" s="889"/>
      <c r="X146" s="213"/>
      <c r="Y146" s="883"/>
    </row>
    <row r="147" spans="1:25">
      <c r="A147" s="2823">
        <v>4148</v>
      </c>
      <c r="B147" s="3158"/>
      <c r="C147" s="2823" t="s">
        <v>109</v>
      </c>
      <c r="D147" s="3027" t="s">
        <v>2693</v>
      </c>
      <c r="E147" s="863" t="s">
        <v>2694</v>
      </c>
      <c r="F147" s="466"/>
      <c r="G147" s="213"/>
      <c r="H147" s="466">
        <f t="shared" si="79"/>
        <v>0</v>
      </c>
      <c r="I147" s="213"/>
      <c r="J147" s="863"/>
      <c r="K147" s="445">
        <v>1</v>
      </c>
      <c r="L147" s="984">
        <f>SUM(L148:L150)</f>
        <v>1</v>
      </c>
      <c r="M147" s="413"/>
      <c r="N147" s="984">
        <f>SUM(N148:N150)</f>
        <v>0.26200000000000001</v>
      </c>
      <c r="O147" s="3156">
        <f>IF(Q147&gt;0,N147,"na")</f>
        <v>0.26200000000000001</v>
      </c>
      <c r="P147" s="466">
        <f t="shared" ref="P147:S147" si="80">SUM(P148:P150)</f>
        <v>178415283</v>
      </c>
      <c r="Q147" s="466">
        <f t="shared" si="80"/>
        <v>148306300</v>
      </c>
      <c r="R147" s="466">
        <f t="shared" si="80"/>
        <v>90064000</v>
      </c>
      <c r="S147" s="466">
        <f t="shared" si="80"/>
        <v>37682000</v>
      </c>
      <c r="T147" s="2253">
        <f t="shared" ref="T147:U150" si="81">IF(Q147=0,0,R147/Q147)</f>
        <v>0.60728370945806076</v>
      </c>
      <c r="U147" s="2253">
        <f t="shared" si="81"/>
        <v>0.41839136613963401</v>
      </c>
      <c r="V147" s="453"/>
      <c r="W147" s="889"/>
      <c r="X147" s="2260"/>
      <c r="Y147" s="2841" t="s">
        <v>2474</v>
      </c>
    </row>
    <row r="148" spans="1:25" ht="121.5">
      <c r="A148" s="2875"/>
      <c r="B148" s="2875"/>
      <c r="C148" s="2875"/>
      <c r="D148" s="2875"/>
      <c r="E148" s="863" t="s">
        <v>2695</v>
      </c>
      <c r="F148" s="3159"/>
      <c r="G148" s="2846" t="s">
        <v>2696</v>
      </c>
      <c r="H148" s="3159">
        <v>0</v>
      </c>
      <c r="I148" s="213" t="s">
        <v>2697</v>
      </c>
      <c r="J148" s="213" t="s">
        <v>2698</v>
      </c>
      <c r="K148" s="445">
        <v>4</v>
      </c>
      <c r="L148" s="984">
        <v>0.65</v>
      </c>
      <c r="M148" s="413">
        <v>0</v>
      </c>
      <c r="N148" s="984">
        <v>0.26200000000000001</v>
      </c>
      <c r="O148" s="2875"/>
      <c r="P148" s="466">
        <v>166781300</v>
      </c>
      <c r="Q148" s="466">
        <v>148306300</v>
      </c>
      <c r="R148" s="466">
        <v>90064000</v>
      </c>
      <c r="S148" s="466">
        <v>37682000</v>
      </c>
      <c r="T148" s="2253">
        <f t="shared" si="81"/>
        <v>0.60728370945806076</v>
      </c>
      <c r="U148" s="2253">
        <f t="shared" si="81"/>
        <v>0.41839136613963401</v>
      </c>
      <c r="V148" s="453">
        <v>45350</v>
      </c>
      <c r="W148" s="889">
        <v>45596</v>
      </c>
      <c r="X148" s="2260" t="s">
        <v>5355</v>
      </c>
      <c r="Y148" s="3146"/>
    </row>
    <row r="149" spans="1:25" ht="54">
      <c r="A149" s="2875"/>
      <c r="B149" s="2875"/>
      <c r="C149" s="2875"/>
      <c r="D149" s="2875"/>
      <c r="E149" s="863" t="s">
        <v>2699</v>
      </c>
      <c r="F149" s="2875"/>
      <c r="G149" s="2875"/>
      <c r="H149" s="2875"/>
      <c r="I149" s="213" t="s">
        <v>5356</v>
      </c>
      <c r="J149" s="213" t="s">
        <v>2631</v>
      </c>
      <c r="K149" s="445">
        <v>9</v>
      </c>
      <c r="L149" s="984">
        <v>0.25</v>
      </c>
      <c r="M149" s="413">
        <v>0</v>
      </c>
      <c r="N149" s="984">
        <v>0</v>
      </c>
      <c r="O149" s="2875"/>
      <c r="P149" s="466">
        <v>5215083</v>
      </c>
      <c r="Q149" s="466">
        <v>0</v>
      </c>
      <c r="R149" s="466">
        <v>0</v>
      </c>
      <c r="S149" s="466">
        <v>0</v>
      </c>
      <c r="T149" s="2253">
        <f t="shared" si="81"/>
        <v>0</v>
      </c>
      <c r="U149" s="2253">
        <f t="shared" si="81"/>
        <v>0</v>
      </c>
      <c r="V149" s="453"/>
      <c r="W149" s="889"/>
      <c r="X149" s="2260"/>
      <c r="Y149" s="3146"/>
    </row>
    <row r="150" spans="1:25" ht="67.5">
      <c r="A150" s="2876"/>
      <c r="B150" s="2876"/>
      <c r="C150" s="2876"/>
      <c r="D150" s="2876"/>
      <c r="E150" s="863" t="s">
        <v>2700</v>
      </c>
      <c r="F150" s="2876"/>
      <c r="G150" s="2876"/>
      <c r="H150" s="2876"/>
      <c r="I150" s="213" t="s">
        <v>2701</v>
      </c>
      <c r="J150" s="213" t="s">
        <v>118</v>
      </c>
      <c r="K150" s="445">
        <v>1</v>
      </c>
      <c r="L150" s="984">
        <v>0.1</v>
      </c>
      <c r="M150" s="413">
        <v>0</v>
      </c>
      <c r="N150" s="984">
        <v>0</v>
      </c>
      <c r="O150" s="2876"/>
      <c r="P150" s="466">
        <v>6418900</v>
      </c>
      <c r="Q150" s="466">
        <v>0</v>
      </c>
      <c r="R150" s="466">
        <v>0</v>
      </c>
      <c r="S150" s="466">
        <v>0</v>
      </c>
      <c r="T150" s="2253">
        <f t="shared" si="81"/>
        <v>0</v>
      </c>
      <c r="U150" s="2253">
        <f t="shared" si="81"/>
        <v>0</v>
      </c>
      <c r="V150" s="453"/>
      <c r="W150" s="889"/>
      <c r="X150" s="2260"/>
      <c r="Y150" s="3147"/>
    </row>
    <row r="151" spans="1:25" ht="38.25">
      <c r="A151" s="326"/>
      <c r="B151" s="240">
        <v>52050010005</v>
      </c>
      <c r="C151" s="240" t="s">
        <v>103</v>
      </c>
      <c r="D151" s="235" t="s">
        <v>2702</v>
      </c>
      <c r="E151" s="417"/>
      <c r="F151" s="466">
        <v>0</v>
      </c>
      <c r="G151" s="2177"/>
      <c r="H151" s="2282">
        <f t="shared" ref="H151:H152" si="82">H152</f>
        <v>21</v>
      </c>
      <c r="I151" s="213"/>
      <c r="J151" s="863"/>
      <c r="K151" s="445">
        <f t="shared" ref="K151:K152" si="83">K152</f>
        <v>72</v>
      </c>
      <c r="L151" s="984"/>
      <c r="M151" s="413"/>
      <c r="N151" s="984"/>
      <c r="O151" s="984"/>
      <c r="P151" s="466"/>
      <c r="Q151" s="466"/>
      <c r="R151" s="466"/>
      <c r="S151" s="466"/>
      <c r="T151" s="417"/>
      <c r="U151" s="417"/>
      <c r="V151" s="453"/>
      <c r="W151" s="889"/>
      <c r="X151" s="213"/>
      <c r="Y151" s="883"/>
    </row>
    <row r="152" spans="1:25">
      <c r="A152" s="2823">
        <v>4148</v>
      </c>
      <c r="B152" s="3158"/>
      <c r="C152" s="2823" t="s">
        <v>109</v>
      </c>
      <c r="D152" s="3027" t="s">
        <v>2703</v>
      </c>
      <c r="E152" s="863" t="s">
        <v>2704</v>
      </c>
      <c r="F152" s="466"/>
      <c r="G152" s="2177"/>
      <c r="H152" s="2282">
        <f t="shared" si="82"/>
        <v>21</v>
      </c>
      <c r="I152" s="213"/>
      <c r="J152" s="863"/>
      <c r="K152" s="445">
        <f t="shared" si="83"/>
        <v>72</v>
      </c>
      <c r="L152" s="984">
        <f>L153</f>
        <v>1</v>
      </c>
      <c r="M152" s="413"/>
      <c r="N152" s="984">
        <f>N153</f>
        <v>0.15</v>
      </c>
      <c r="O152" s="3156">
        <f>IF(Q152&gt;0,N152,"na")</f>
        <v>0.15</v>
      </c>
      <c r="P152" s="466">
        <f t="shared" ref="P152:S152" si="84">P153</f>
        <v>429244593</v>
      </c>
      <c r="Q152" s="466">
        <f t="shared" si="84"/>
        <v>1013204603</v>
      </c>
      <c r="R152" s="466">
        <f t="shared" si="84"/>
        <v>336604350</v>
      </c>
      <c r="S152" s="466">
        <f t="shared" si="84"/>
        <v>26716000</v>
      </c>
      <c r="T152" s="2253">
        <f t="shared" ref="T152:U153" si="85">IF(Q152=0,0,R152/Q152)</f>
        <v>0.3322175491537912</v>
      </c>
      <c r="U152" s="2253">
        <f t="shared" si="85"/>
        <v>7.9369146595996157E-2</v>
      </c>
      <c r="V152" s="453"/>
      <c r="W152" s="889"/>
      <c r="X152" s="2260"/>
      <c r="Y152" s="2841" t="s">
        <v>2474</v>
      </c>
    </row>
    <row r="153" spans="1:25" ht="135">
      <c r="A153" s="2876"/>
      <c r="B153" s="2876"/>
      <c r="C153" s="2876"/>
      <c r="D153" s="2876"/>
      <c r="E153" s="863" t="s">
        <v>2705</v>
      </c>
      <c r="F153" s="466"/>
      <c r="G153" s="213" t="s">
        <v>2702</v>
      </c>
      <c r="H153" s="466">
        <v>21</v>
      </c>
      <c r="I153" s="213" t="s">
        <v>2706</v>
      </c>
      <c r="J153" s="863" t="s">
        <v>2669</v>
      </c>
      <c r="K153" s="445">
        <v>72</v>
      </c>
      <c r="L153" s="984">
        <v>1</v>
      </c>
      <c r="M153" s="413">
        <v>21</v>
      </c>
      <c r="N153" s="984">
        <v>0.15</v>
      </c>
      <c r="O153" s="2876"/>
      <c r="P153" s="466">
        <v>429244593</v>
      </c>
      <c r="Q153" s="466">
        <v>1013204603</v>
      </c>
      <c r="R153" s="466">
        <v>336604350</v>
      </c>
      <c r="S153" s="466">
        <v>26716000</v>
      </c>
      <c r="T153" s="2253">
        <f t="shared" si="85"/>
        <v>0.3322175491537912</v>
      </c>
      <c r="U153" s="2253">
        <f t="shared" si="85"/>
        <v>7.9369146595996157E-2</v>
      </c>
      <c r="V153" s="453">
        <v>45320</v>
      </c>
      <c r="W153" s="889">
        <v>45641</v>
      </c>
      <c r="X153" s="2260" t="s">
        <v>5357</v>
      </c>
      <c r="Y153" s="3147"/>
    </row>
    <row r="154" spans="1:25" ht="38.25">
      <c r="A154" s="326"/>
      <c r="B154" s="240">
        <v>52050010006</v>
      </c>
      <c r="C154" s="240" t="s">
        <v>103</v>
      </c>
      <c r="D154" s="235" t="s">
        <v>2707</v>
      </c>
      <c r="E154" s="417"/>
      <c r="F154" s="466">
        <v>0</v>
      </c>
      <c r="G154" s="213"/>
      <c r="H154" s="466">
        <f t="shared" ref="H154:H155" si="86">H155</f>
        <v>0</v>
      </c>
      <c r="I154" s="213"/>
      <c r="J154" s="863"/>
      <c r="K154" s="445">
        <f t="shared" ref="K154:K155" si="87">K155</f>
        <v>1</v>
      </c>
      <c r="L154" s="984"/>
      <c r="M154" s="413"/>
      <c r="N154" s="984"/>
      <c r="O154" s="984"/>
      <c r="P154" s="466"/>
      <c r="Q154" s="466"/>
      <c r="R154" s="466"/>
      <c r="S154" s="466"/>
      <c r="T154" s="417"/>
      <c r="U154" s="417"/>
      <c r="V154" s="453"/>
      <c r="W154" s="889"/>
      <c r="X154" s="213"/>
      <c r="Y154" s="883"/>
    </row>
    <row r="155" spans="1:25">
      <c r="A155" s="2823">
        <v>4148</v>
      </c>
      <c r="B155" s="2823"/>
      <c r="C155" s="2823" t="s">
        <v>109</v>
      </c>
      <c r="D155" s="3027" t="s">
        <v>2708</v>
      </c>
      <c r="E155" s="863" t="s">
        <v>2709</v>
      </c>
      <c r="F155" s="466"/>
      <c r="G155" s="213"/>
      <c r="H155" s="466">
        <f t="shared" si="86"/>
        <v>0</v>
      </c>
      <c r="I155" s="213"/>
      <c r="J155" s="863"/>
      <c r="K155" s="445">
        <f t="shared" si="87"/>
        <v>1</v>
      </c>
      <c r="L155" s="984">
        <f>SUM(L156)</f>
        <v>1</v>
      </c>
      <c r="M155" s="413"/>
      <c r="N155" s="984">
        <f>SUM(N156)</f>
        <v>0.14000000000000001</v>
      </c>
      <c r="O155" s="3156">
        <f>IF(Q155&gt;0,N155,"na")</f>
        <v>0.14000000000000001</v>
      </c>
      <c r="P155" s="466">
        <f t="shared" ref="P155:S155" si="88">SUM(P156)</f>
        <v>122284539</v>
      </c>
      <c r="Q155" s="466">
        <f t="shared" si="88"/>
        <v>122284539</v>
      </c>
      <c r="R155" s="466">
        <f t="shared" si="88"/>
        <v>40816000</v>
      </c>
      <c r="S155" s="466">
        <f t="shared" si="88"/>
        <v>6657000</v>
      </c>
      <c r="T155" s="2253">
        <f t="shared" ref="T155:U156" si="89">IF(Q155=0,0,R155/Q155)</f>
        <v>0.33377890887743378</v>
      </c>
      <c r="U155" s="2253">
        <f t="shared" si="89"/>
        <v>0.16309780478243827</v>
      </c>
      <c r="V155" s="453"/>
      <c r="W155" s="889"/>
      <c r="X155" s="2260"/>
      <c r="Y155" s="2841" t="s">
        <v>2474</v>
      </c>
    </row>
    <row r="156" spans="1:25" ht="108">
      <c r="A156" s="2876"/>
      <c r="B156" s="2876"/>
      <c r="C156" s="2876"/>
      <c r="D156" s="2876"/>
      <c r="E156" s="417" t="s">
        <v>2710</v>
      </c>
      <c r="F156" s="466"/>
      <c r="G156" s="213" t="s">
        <v>2707</v>
      </c>
      <c r="H156" s="466">
        <v>0</v>
      </c>
      <c r="I156" s="213" t="s">
        <v>2711</v>
      </c>
      <c r="J156" s="213" t="s">
        <v>2528</v>
      </c>
      <c r="K156" s="445">
        <v>1</v>
      </c>
      <c r="L156" s="984">
        <v>1</v>
      </c>
      <c r="M156" s="413">
        <v>0</v>
      </c>
      <c r="N156" s="984">
        <v>0.14000000000000001</v>
      </c>
      <c r="O156" s="2876"/>
      <c r="P156" s="466">
        <v>122284539</v>
      </c>
      <c r="Q156" s="466">
        <v>122284539</v>
      </c>
      <c r="R156" s="466">
        <v>40816000</v>
      </c>
      <c r="S156" s="466">
        <v>6657000</v>
      </c>
      <c r="T156" s="2253">
        <f t="shared" si="89"/>
        <v>0.33377890887743378</v>
      </c>
      <c r="U156" s="2253">
        <f t="shared" si="89"/>
        <v>0.16309780478243827</v>
      </c>
      <c r="V156" s="453">
        <v>45440</v>
      </c>
      <c r="W156" s="889">
        <v>45596</v>
      </c>
      <c r="X156" s="213" t="s">
        <v>5358</v>
      </c>
      <c r="Y156" s="3147"/>
    </row>
    <row r="157" spans="1:25" ht="51">
      <c r="A157" s="326"/>
      <c r="B157" s="240">
        <v>52050010007</v>
      </c>
      <c r="C157" s="240" t="s">
        <v>103</v>
      </c>
      <c r="D157" s="235" t="s">
        <v>2712</v>
      </c>
      <c r="E157" s="417"/>
      <c r="F157" s="466">
        <v>0</v>
      </c>
      <c r="G157" s="213"/>
      <c r="H157" s="466">
        <f>H158+H162</f>
        <v>0</v>
      </c>
      <c r="I157" s="213"/>
      <c r="J157" s="863"/>
      <c r="K157" s="445">
        <f>K158+K162</f>
        <v>3</v>
      </c>
      <c r="L157" s="984"/>
      <c r="M157" s="413"/>
      <c r="N157" s="984"/>
      <c r="O157" s="984"/>
      <c r="P157" s="466"/>
      <c r="Q157" s="466"/>
      <c r="R157" s="466"/>
      <c r="S157" s="466"/>
      <c r="T157" s="417"/>
      <c r="U157" s="417"/>
      <c r="V157" s="453"/>
      <c r="W157" s="889"/>
      <c r="X157" s="213"/>
      <c r="Y157" s="883"/>
    </row>
    <row r="158" spans="1:25">
      <c r="A158" s="2823">
        <v>4148</v>
      </c>
      <c r="B158" s="2823"/>
      <c r="C158" s="2823" t="s">
        <v>109</v>
      </c>
      <c r="D158" s="3027" t="s">
        <v>2713</v>
      </c>
      <c r="E158" s="863" t="s">
        <v>2714</v>
      </c>
      <c r="F158" s="466"/>
      <c r="G158" s="213"/>
      <c r="H158" s="466">
        <f>H159</f>
        <v>0</v>
      </c>
      <c r="I158" s="213"/>
      <c r="J158" s="863"/>
      <c r="K158" s="445">
        <v>1</v>
      </c>
      <c r="L158" s="984">
        <f>SUM(L159:L161)</f>
        <v>1</v>
      </c>
      <c r="M158" s="413"/>
      <c r="N158" s="984">
        <f>SUM(N159:N161)</f>
        <v>0.245</v>
      </c>
      <c r="O158" s="3156">
        <f>IF(Q158&gt;0,N158,"na")</f>
        <v>0.245</v>
      </c>
      <c r="P158" s="466">
        <f t="shared" ref="P158:S158" si="90">SUM(P159:P161)</f>
        <v>150000000</v>
      </c>
      <c r="Q158" s="466">
        <f t="shared" si="90"/>
        <v>150000000</v>
      </c>
      <c r="R158" s="466">
        <f t="shared" si="90"/>
        <v>76513200</v>
      </c>
      <c r="S158" s="466">
        <f t="shared" si="90"/>
        <v>27110000</v>
      </c>
      <c r="T158" s="2253">
        <f t="shared" ref="T158:U166" si="91">IF(Q158=0,0,R158/Q158)</f>
        <v>0.51008799999999999</v>
      </c>
      <c r="U158" s="2253">
        <f t="shared" si="91"/>
        <v>0.35431794775280606</v>
      </c>
      <c r="V158" s="453"/>
      <c r="W158" s="889"/>
      <c r="X158" s="2260"/>
      <c r="Y158" s="2841" t="s">
        <v>2474</v>
      </c>
    </row>
    <row r="159" spans="1:25" ht="135">
      <c r="A159" s="2875"/>
      <c r="B159" s="2875"/>
      <c r="C159" s="2875"/>
      <c r="D159" s="2875"/>
      <c r="E159" s="417" t="s">
        <v>2715</v>
      </c>
      <c r="F159" s="3159"/>
      <c r="G159" s="3027" t="s">
        <v>2712</v>
      </c>
      <c r="H159" s="3159">
        <v>0</v>
      </c>
      <c r="I159" s="213" t="s">
        <v>2716</v>
      </c>
      <c r="J159" s="213" t="s">
        <v>2717</v>
      </c>
      <c r="K159" s="445">
        <v>1</v>
      </c>
      <c r="L159" s="984">
        <v>0.06</v>
      </c>
      <c r="M159" s="413">
        <v>0</v>
      </c>
      <c r="N159" s="984">
        <v>0</v>
      </c>
      <c r="O159" s="2875"/>
      <c r="P159" s="466">
        <v>9200000</v>
      </c>
      <c r="Q159" s="466">
        <v>9200000</v>
      </c>
      <c r="R159" s="466">
        <v>9200000</v>
      </c>
      <c r="S159" s="466">
        <v>0</v>
      </c>
      <c r="T159" s="2253">
        <f t="shared" si="91"/>
        <v>1</v>
      </c>
      <c r="U159" s="2253">
        <f t="shared" si="91"/>
        <v>0</v>
      </c>
      <c r="V159" s="453">
        <v>45397</v>
      </c>
      <c r="W159" s="889">
        <v>45616</v>
      </c>
      <c r="X159" s="1035" t="s">
        <v>5359</v>
      </c>
      <c r="Y159" s="3146"/>
    </row>
    <row r="160" spans="1:25" ht="81">
      <c r="A160" s="2875"/>
      <c r="B160" s="2875"/>
      <c r="C160" s="2875"/>
      <c r="D160" s="2875"/>
      <c r="E160" s="417" t="s">
        <v>2718</v>
      </c>
      <c r="F160" s="2875"/>
      <c r="G160" s="2875"/>
      <c r="H160" s="2875"/>
      <c r="I160" s="213" t="s">
        <v>2719</v>
      </c>
      <c r="J160" s="863" t="s">
        <v>2519</v>
      </c>
      <c r="K160" s="445">
        <v>150</v>
      </c>
      <c r="L160" s="984">
        <v>0.08</v>
      </c>
      <c r="M160" s="413">
        <v>0</v>
      </c>
      <c r="N160" s="984">
        <v>5.0000000000000001E-3</v>
      </c>
      <c r="O160" s="2875"/>
      <c r="P160" s="466">
        <v>12451200</v>
      </c>
      <c r="Q160" s="466">
        <v>12451200</v>
      </c>
      <c r="R160" s="466">
        <v>12451200</v>
      </c>
      <c r="S160" s="466">
        <v>0</v>
      </c>
      <c r="T160" s="2253">
        <f t="shared" si="91"/>
        <v>1</v>
      </c>
      <c r="U160" s="2253">
        <f t="shared" si="91"/>
        <v>0</v>
      </c>
      <c r="V160" s="453">
        <v>45397</v>
      </c>
      <c r="W160" s="889">
        <v>45616</v>
      </c>
      <c r="X160" s="213" t="s">
        <v>5360</v>
      </c>
      <c r="Y160" s="3146"/>
    </row>
    <row r="161" spans="1:25" ht="148.5">
      <c r="A161" s="2876"/>
      <c r="B161" s="2876"/>
      <c r="C161" s="2876"/>
      <c r="D161" s="2876"/>
      <c r="E161" s="417" t="s">
        <v>2720</v>
      </c>
      <c r="F161" s="2876"/>
      <c r="G161" s="2876"/>
      <c r="H161" s="2876"/>
      <c r="I161" s="213" t="s">
        <v>5361</v>
      </c>
      <c r="J161" s="863" t="s">
        <v>2510</v>
      </c>
      <c r="K161" s="445">
        <v>3184</v>
      </c>
      <c r="L161" s="984">
        <v>0.86</v>
      </c>
      <c r="M161" s="413">
        <v>0</v>
      </c>
      <c r="N161" s="984">
        <v>0.24</v>
      </c>
      <c r="O161" s="2876"/>
      <c r="P161" s="466">
        <v>128348800</v>
      </c>
      <c r="Q161" s="466">
        <v>128348800</v>
      </c>
      <c r="R161" s="466">
        <v>54862000</v>
      </c>
      <c r="S161" s="466">
        <v>27110000</v>
      </c>
      <c r="T161" s="2253">
        <f t="shared" si="91"/>
        <v>0.42744458849634748</v>
      </c>
      <c r="U161" s="2253">
        <f t="shared" si="91"/>
        <v>0.49414895556122634</v>
      </c>
      <c r="V161" s="453">
        <v>45341</v>
      </c>
      <c r="W161" s="889">
        <v>45596</v>
      </c>
      <c r="X161" s="213" t="s">
        <v>5362</v>
      </c>
      <c r="Y161" s="3147"/>
    </row>
    <row r="162" spans="1:25">
      <c r="A162" s="2823">
        <v>4148</v>
      </c>
      <c r="B162" s="2823"/>
      <c r="C162" s="2823" t="s">
        <v>109</v>
      </c>
      <c r="D162" s="3027" t="s">
        <v>2721</v>
      </c>
      <c r="E162" s="863" t="s">
        <v>2722</v>
      </c>
      <c r="F162" s="466"/>
      <c r="G162" s="213"/>
      <c r="H162" s="466">
        <f>H163+H164</f>
        <v>0</v>
      </c>
      <c r="I162" s="213"/>
      <c r="J162" s="863"/>
      <c r="K162" s="445">
        <f>K163+K164</f>
        <v>2</v>
      </c>
      <c r="L162" s="984">
        <f>SUM(L163:L166)</f>
        <v>1</v>
      </c>
      <c r="M162" s="413"/>
      <c r="N162" s="984">
        <f>SUM(N163:N166)</f>
        <v>0.22</v>
      </c>
      <c r="O162" s="3156">
        <f>IF(Q162&gt;0,N162,"na")</f>
        <v>0.22</v>
      </c>
      <c r="P162" s="466">
        <f t="shared" ref="P162:S162" si="92">SUM(P163:P166)</f>
        <v>489831443</v>
      </c>
      <c r="Q162" s="466">
        <f t="shared" si="92"/>
        <v>489831443</v>
      </c>
      <c r="R162" s="466">
        <f t="shared" si="92"/>
        <v>228045000</v>
      </c>
      <c r="S162" s="466">
        <f t="shared" si="92"/>
        <v>111858000</v>
      </c>
      <c r="T162" s="2253">
        <f t="shared" si="91"/>
        <v>0.46555810832258065</v>
      </c>
      <c r="U162" s="2253">
        <f t="shared" si="91"/>
        <v>0.4905084522791554</v>
      </c>
      <c r="V162" s="453"/>
      <c r="W162" s="889"/>
      <c r="X162" s="2260"/>
      <c r="Y162" s="2841" t="s">
        <v>2474</v>
      </c>
    </row>
    <row r="163" spans="1:25" ht="148.5">
      <c r="A163" s="2875"/>
      <c r="B163" s="2875"/>
      <c r="C163" s="2875"/>
      <c r="D163" s="2875"/>
      <c r="E163" s="417" t="s">
        <v>2723</v>
      </c>
      <c r="F163" s="466"/>
      <c r="G163" s="880" t="s">
        <v>2712</v>
      </c>
      <c r="H163" s="466">
        <v>0</v>
      </c>
      <c r="I163" s="213" t="s">
        <v>2724</v>
      </c>
      <c r="J163" s="213" t="s">
        <v>2725</v>
      </c>
      <c r="K163" s="445">
        <v>1</v>
      </c>
      <c r="L163" s="984">
        <v>0.3</v>
      </c>
      <c r="M163" s="413">
        <v>0</v>
      </c>
      <c r="N163" s="984">
        <v>8.5000000000000006E-2</v>
      </c>
      <c r="O163" s="2875"/>
      <c r="P163" s="466">
        <v>142890000</v>
      </c>
      <c r="Q163" s="466">
        <v>142890000</v>
      </c>
      <c r="R163" s="466">
        <v>65641000</v>
      </c>
      <c r="S163" s="466">
        <v>39497000</v>
      </c>
      <c r="T163" s="2253">
        <f t="shared" si="91"/>
        <v>0.45938134229127303</v>
      </c>
      <c r="U163" s="2253">
        <f t="shared" si="91"/>
        <v>0.60171234441888455</v>
      </c>
      <c r="V163" s="453">
        <v>45322</v>
      </c>
      <c r="W163" s="889">
        <v>45596</v>
      </c>
      <c r="X163" s="1035" t="s">
        <v>5363</v>
      </c>
      <c r="Y163" s="3146"/>
    </row>
    <row r="164" spans="1:25" ht="67.5">
      <c r="A164" s="2875"/>
      <c r="B164" s="2875"/>
      <c r="C164" s="2875"/>
      <c r="D164" s="2875"/>
      <c r="E164" s="417" t="s">
        <v>2726</v>
      </c>
      <c r="F164" s="466"/>
      <c r="G164" s="880" t="s">
        <v>2712</v>
      </c>
      <c r="H164" s="466">
        <v>0</v>
      </c>
      <c r="I164" s="213" t="s">
        <v>2727</v>
      </c>
      <c r="J164" s="213" t="s">
        <v>2728</v>
      </c>
      <c r="K164" s="445">
        <v>1</v>
      </c>
      <c r="L164" s="984">
        <v>0.3</v>
      </c>
      <c r="M164" s="413">
        <v>0</v>
      </c>
      <c r="N164" s="984">
        <v>0.08</v>
      </c>
      <c r="O164" s="2875"/>
      <c r="P164" s="466">
        <v>170321677</v>
      </c>
      <c r="Q164" s="466">
        <v>170321677</v>
      </c>
      <c r="R164" s="466">
        <v>91829000</v>
      </c>
      <c r="S164" s="466">
        <v>43502000</v>
      </c>
      <c r="T164" s="2253">
        <f t="shared" si="91"/>
        <v>0.53915039833714173</v>
      </c>
      <c r="U164" s="2253">
        <f t="shared" si="91"/>
        <v>0.47372834289821297</v>
      </c>
      <c r="V164" s="453">
        <v>45366</v>
      </c>
      <c r="W164" s="889">
        <v>45596</v>
      </c>
      <c r="X164" s="213" t="s">
        <v>5364</v>
      </c>
      <c r="Y164" s="3146"/>
    </row>
    <row r="165" spans="1:25" ht="81">
      <c r="A165" s="2875"/>
      <c r="B165" s="2875"/>
      <c r="C165" s="2875"/>
      <c r="D165" s="2875"/>
      <c r="E165" s="417" t="s">
        <v>2729</v>
      </c>
      <c r="F165" s="466"/>
      <c r="G165" s="213"/>
      <c r="H165" s="466"/>
      <c r="I165" s="213" t="s">
        <v>2730</v>
      </c>
      <c r="J165" s="213" t="s">
        <v>2731</v>
      </c>
      <c r="K165" s="445">
        <v>1200</v>
      </c>
      <c r="L165" s="984">
        <v>0.2</v>
      </c>
      <c r="M165" s="413">
        <v>995</v>
      </c>
      <c r="N165" s="984">
        <v>5.5E-2</v>
      </c>
      <c r="O165" s="2875"/>
      <c r="P165" s="466">
        <v>114490200</v>
      </c>
      <c r="Q165" s="466">
        <v>114490200</v>
      </c>
      <c r="R165" s="466">
        <v>70575000</v>
      </c>
      <c r="S165" s="466">
        <v>28859000</v>
      </c>
      <c r="T165" s="2253">
        <f t="shared" si="91"/>
        <v>0.61642830565410833</v>
      </c>
      <c r="U165" s="2253">
        <f t="shared" si="91"/>
        <v>0.40891250442791355</v>
      </c>
      <c r="V165" s="453">
        <v>45322</v>
      </c>
      <c r="W165" s="889">
        <v>45596</v>
      </c>
      <c r="X165" s="213" t="s">
        <v>5365</v>
      </c>
      <c r="Y165" s="3146"/>
    </row>
    <row r="166" spans="1:25" ht="67.5">
      <c r="A166" s="2876"/>
      <c r="B166" s="2876"/>
      <c r="C166" s="2876"/>
      <c r="D166" s="2876"/>
      <c r="E166" s="417" t="s">
        <v>2732</v>
      </c>
      <c r="F166" s="466"/>
      <c r="G166" s="213"/>
      <c r="H166" s="466"/>
      <c r="I166" s="213" t="s">
        <v>2733</v>
      </c>
      <c r="J166" s="863" t="s">
        <v>2734</v>
      </c>
      <c r="K166" s="445">
        <v>2</v>
      </c>
      <c r="L166" s="984">
        <v>0.2</v>
      </c>
      <c r="M166" s="413">
        <v>0</v>
      </c>
      <c r="N166" s="984">
        <v>0</v>
      </c>
      <c r="O166" s="2876"/>
      <c r="P166" s="466">
        <v>62129566</v>
      </c>
      <c r="Q166" s="466">
        <v>62129566</v>
      </c>
      <c r="R166" s="466">
        <v>0</v>
      </c>
      <c r="S166" s="466">
        <v>0</v>
      </c>
      <c r="T166" s="2253">
        <f t="shared" si="91"/>
        <v>0</v>
      </c>
      <c r="U166" s="2253">
        <f t="shared" si="91"/>
        <v>0</v>
      </c>
      <c r="V166" s="453"/>
      <c r="W166" s="889"/>
      <c r="X166" s="213"/>
      <c r="Y166" s="3147"/>
    </row>
    <row r="167" spans="1:25">
      <c r="A167" s="326"/>
      <c r="B167" s="252">
        <v>5205002</v>
      </c>
      <c r="C167" s="252" t="s">
        <v>102</v>
      </c>
      <c r="D167" s="434" t="s">
        <v>2735</v>
      </c>
      <c r="E167" s="417"/>
      <c r="F167" s="466"/>
      <c r="G167" s="213"/>
      <c r="H167" s="466"/>
      <c r="I167" s="213"/>
      <c r="J167" s="863"/>
      <c r="K167" s="445"/>
      <c r="L167" s="984"/>
      <c r="M167" s="413"/>
      <c r="N167" s="984"/>
      <c r="O167" s="984"/>
      <c r="P167" s="466"/>
      <c r="Q167" s="466"/>
      <c r="R167" s="466"/>
      <c r="S167" s="466"/>
      <c r="T167" s="417"/>
      <c r="U167" s="417"/>
      <c r="V167" s="453"/>
      <c r="W167" s="889"/>
      <c r="X167" s="213"/>
      <c r="Y167" s="883"/>
    </row>
    <row r="168" spans="1:25" ht="38.25">
      <c r="A168" s="326"/>
      <c r="B168" s="240">
        <v>52050020001</v>
      </c>
      <c r="C168" s="240" t="s">
        <v>103</v>
      </c>
      <c r="D168" s="235" t="s">
        <v>2736</v>
      </c>
      <c r="E168" s="417"/>
      <c r="F168" s="466">
        <v>0</v>
      </c>
      <c r="G168" s="213"/>
      <c r="H168" s="466">
        <f>H169+H171+H173+H176+H178+H180+H182+H184+H186+H188+H190+H192+H194+H196+H198+H200+H202</f>
        <v>0</v>
      </c>
      <c r="I168" s="213"/>
      <c r="J168" s="863"/>
      <c r="K168" s="463">
        <f>K169+K171+K173+K176+K178+K180+K182+K184+K186+K188+K190+K192+K194+K196+K198+K200+K202</f>
        <v>8892</v>
      </c>
      <c r="L168" s="984"/>
      <c r="M168" s="413"/>
      <c r="N168" s="984"/>
      <c r="O168" s="984"/>
      <c r="P168" s="466"/>
      <c r="Q168" s="466"/>
      <c r="R168" s="466"/>
      <c r="S168" s="466"/>
      <c r="T168" s="417"/>
      <c r="U168" s="417"/>
      <c r="V168" s="453"/>
      <c r="W168" s="889"/>
      <c r="X168" s="213"/>
      <c r="Y168" s="883"/>
    </row>
    <row r="169" spans="1:25">
      <c r="A169" s="2823">
        <v>4148</v>
      </c>
      <c r="B169" s="2823"/>
      <c r="C169" s="2823" t="s">
        <v>109</v>
      </c>
      <c r="D169" s="3027" t="s">
        <v>2737</v>
      </c>
      <c r="E169" s="863" t="s">
        <v>2738</v>
      </c>
      <c r="F169" s="466"/>
      <c r="G169" s="213"/>
      <c r="H169" s="466">
        <f>H170</f>
        <v>0</v>
      </c>
      <c r="I169" s="213"/>
      <c r="J169" s="863"/>
      <c r="K169" s="445">
        <f t="shared" ref="K169:L169" si="93">K170</f>
        <v>114</v>
      </c>
      <c r="L169" s="984">
        <f t="shared" si="93"/>
        <v>1</v>
      </c>
      <c r="M169" s="413"/>
      <c r="N169" s="984">
        <f>N170</f>
        <v>0</v>
      </c>
      <c r="O169" s="3156">
        <f>IF(Q169&gt;0,N169,"na")</f>
        <v>0</v>
      </c>
      <c r="P169" s="466">
        <f t="shared" ref="P169:S169" si="94">P170</f>
        <v>60000000</v>
      </c>
      <c r="Q169" s="466">
        <f t="shared" si="94"/>
        <v>60000000</v>
      </c>
      <c r="R169" s="466">
        <f t="shared" si="94"/>
        <v>60000000</v>
      </c>
      <c r="S169" s="466">
        <f t="shared" si="94"/>
        <v>0</v>
      </c>
      <c r="T169" s="2253">
        <f t="shared" ref="T169:U184" si="95">IF(Q169=0,0,R169/Q169)</f>
        <v>1</v>
      </c>
      <c r="U169" s="2253">
        <f t="shared" si="95"/>
        <v>0</v>
      </c>
      <c r="V169" s="453"/>
      <c r="W169" s="889"/>
      <c r="X169" s="2260"/>
      <c r="Y169" s="2841" t="s">
        <v>2453</v>
      </c>
    </row>
    <row r="170" spans="1:25" ht="40.5">
      <c r="A170" s="2876"/>
      <c r="B170" s="2876"/>
      <c r="C170" s="2876"/>
      <c r="D170" s="2876"/>
      <c r="E170" s="863" t="s">
        <v>2739</v>
      </c>
      <c r="F170" s="466"/>
      <c r="G170" s="213" t="s">
        <v>2736</v>
      </c>
      <c r="H170" s="466">
        <v>0</v>
      </c>
      <c r="I170" s="213" t="s">
        <v>2740</v>
      </c>
      <c r="J170" s="863" t="s">
        <v>2741</v>
      </c>
      <c r="K170" s="445">
        <v>114</v>
      </c>
      <c r="L170" s="984">
        <v>1</v>
      </c>
      <c r="M170" s="413">
        <v>0</v>
      </c>
      <c r="N170" s="984">
        <v>0</v>
      </c>
      <c r="O170" s="2876"/>
      <c r="P170" s="466">
        <v>60000000</v>
      </c>
      <c r="Q170" s="466">
        <v>60000000</v>
      </c>
      <c r="R170" s="466">
        <v>60000000</v>
      </c>
      <c r="S170" s="466">
        <v>0</v>
      </c>
      <c r="T170" s="2253">
        <f t="shared" si="95"/>
        <v>1</v>
      </c>
      <c r="U170" s="2253">
        <f t="shared" si="95"/>
        <v>0</v>
      </c>
      <c r="V170" s="453">
        <v>45454</v>
      </c>
      <c r="W170" s="889">
        <v>45596</v>
      </c>
      <c r="X170" s="2260" t="s">
        <v>5366</v>
      </c>
      <c r="Y170" s="3147"/>
    </row>
    <row r="171" spans="1:25">
      <c r="A171" s="2823">
        <v>4148</v>
      </c>
      <c r="B171" s="2823"/>
      <c r="C171" s="2823" t="s">
        <v>109</v>
      </c>
      <c r="D171" s="3027" t="s">
        <v>2742</v>
      </c>
      <c r="E171" s="863" t="s">
        <v>2743</v>
      </c>
      <c r="F171" s="466"/>
      <c r="G171" s="213"/>
      <c r="H171" s="466">
        <f>H172</f>
        <v>0</v>
      </c>
      <c r="I171" s="213"/>
      <c r="J171" s="863"/>
      <c r="K171" s="445">
        <f t="shared" ref="K171:L171" si="96">K172</f>
        <v>50</v>
      </c>
      <c r="L171" s="984">
        <f t="shared" si="96"/>
        <v>1</v>
      </c>
      <c r="M171" s="413"/>
      <c r="N171" s="984">
        <f>N172</f>
        <v>0</v>
      </c>
      <c r="O171" s="3156">
        <f>IF(Q171&gt;0,N171,"na")</f>
        <v>0</v>
      </c>
      <c r="P171" s="466">
        <f t="shared" ref="P171:S171" si="97">P172</f>
        <v>35000000</v>
      </c>
      <c r="Q171" s="466">
        <f t="shared" si="97"/>
        <v>35000000</v>
      </c>
      <c r="R171" s="466">
        <f t="shared" si="97"/>
        <v>35000000</v>
      </c>
      <c r="S171" s="466">
        <f t="shared" si="97"/>
        <v>0</v>
      </c>
      <c r="T171" s="2253">
        <f t="shared" si="95"/>
        <v>1</v>
      </c>
      <c r="U171" s="2253">
        <f t="shared" si="95"/>
        <v>0</v>
      </c>
      <c r="V171" s="453"/>
      <c r="W171" s="889"/>
      <c r="X171" s="2260"/>
      <c r="Y171" s="2841" t="s">
        <v>2453</v>
      </c>
    </row>
    <row r="172" spans="1:25" ht="40.5">
      <c r="A172" s="2876"/>
      <c r="B172" s="2876"/>
      <c r="C172" s="2876"/>
      <c r="D172" s="2876"/>
      <c r="E172" s="863" t="s">
        <v>2744</v>
      </c>
      <c r="F172" s="466"/>
      <c r="G172" s="213" t="s">
        <v>2736</v>
      </c>
      <c r="H172" s="466">
        <v>0</v>
      </c>
      <c r="I172" s="213" t="s">
        <v>2745</v>
      </c>
      <c r="J172" s="863" t="s">
        <v>106</v>
      </c>
      <c r="K172" s="445">
        <v>50</v>
      </c>
      <c r="L172" s="984">
        <v>1</v>
      </c>
      <c r="M172" s="413">
        <v>0</v>
      </c>
      <c r="N172" s="984">
        <v>0</v>
      </c>
      <c r="O172" s="2876"/>
      <c r="P172" s="466">
        <v>35000000</v>
      </c>
      <c r="Q172" s="466">
        <v>35000000</v>
      </c>
      <c r="R172" s="466">
        <v>35000000</v>
      </c>
      <c r="S172" s="466">
        <v>0</v>
      </c>
      <c r="T172" s="2253">
        <f t="shared" si="95"/>
        <v>1</v>
      </c>
      <c r="U172" s="2253">
        <f t="shared" si="95"/>
        <v>0</v>
      </c>
      <c r="V172" s="453">
        <v>45454</v>
      </c>
      <c r="W172" s="889">
        <v>45596</v>
      </c>
      <c r="X172" s="2260" t="s">
        <v>5366</v>
      </c>
      <c r="Y172" s="3147"/>
    </row>
    <row r="173" spans="1:25">
      <c r="A173" s="2823">
        <v>4148</v>
      </c>
      <c r="B173" s="2823"/>
      <c r="C173" s="2823" t="s">
        <v>109</v>
      </c>
      <c r="D173" s="3027" t="s">
        <v>2746</v>
      </c>
      <c r="E173" s="863" t="s">
        <v>2747</v>
      </c>
      <c r="F173" s="466"/>
      <c r="G173" s="213"/>
      <c r="H173" s="466">
        <f>H174</f>
        <v>0</v>
      </c>
      <c r="I173" s="213"/>
      <c r="J173" s="863"/>
      <c r="K173" s="445">
        <f>K174</f>
        <v>4162</v>
      </c>
      <c r="L173" s="984">
        <f>SUM(L174:L175)</f>
        <v>1</v>
      </c>
      <c r="M173" s="413"/>
      <c r="N173" s="984">
        <f>SUM(N174:N175)</f>
        <v>7.0000000000000007E-2</v>
      </c>
      <c r="O173" s="3156">
        <f>IF(167&gt;0,N173,"na")</f>
        <v>7.0000000000000007E-2</v>
      </c>
      <c r="P173" s="466">
        <f t="shared" ref="P173:S173" si="98">SUM(P174:P175)</f>
        <v>2472993974</v>
      </c>
      <c r="Q173" s="466">
        <f t="shared" si="98"/>
        <v>3864054078</v>
      </c>
      <c r="R173" s="466">
        <f t="shared" si="98"/>
        <v>2178346467</v>
      </c>
      <c r="S173" s="466">
        <f t="shared" si="98"/>
        <v>295915500</v>
      </c>
      <c r="T173" s="2253">
        <f t="shared" si="95"/>
        <v>0.56374637182290488</v>
      </c>
      <c r="U173" s="2253">
        <f t="shared" si="95"/>
        <v>0.13584409297733629</v>
      </c>
      <c r="V173" s="453"/>
      <c r="W173" s="889"/>
      <c r="X173" s="2260"/>
      <c r="Y173" s="2841" t="s">
        <v>2453</v>
      </c>
    </row>
    <row r="174" spans="1:25" ht="162">
      <c r="A174" s="2875"/>
      <c r="B174" s="2875"/>
      <c r="C174" s="2875"/>
      <c r="D174" s="2875"/>
      <c r="E174" s="417" t="s">
        <v>2748</v>
      </c>
      <c r="F174" s="466"/>
      <c r="G174" s="213" t="s">
        <v>2736</v>
      </c>
      <c r="H174" s="466">
        <v>0</v>
      </c>
      <c r="I174" s="213" t="s">
        <v>5367</v>
      </c>
      <c r="J174" s="863" t="s">
        <v>253</v>
      </c>
      <c r="K174" s="445">
        <v>4162</v>
      </c>
      <c r="L174" s="984">
        <v>0.7</v>
      </c>
      <c r="M174" s="413">
        <v>0</v>
      </c>
      <c r="N174" s="984">
        <v>7.0000000000000007E-2</v>
      </c>
      <c r="O174" s="2875"/>
      <c r="P174" s="466">
        <v>2369729439</v>
      </c>
      <c r="Q174" s="466">
        <v>3378607566</v>
      </c>
      <c r="R174" s="466">
        <v>2178346467</v>
      </c>
      <c r="S174" s="466">
        <v>295915500</v>
      </c>
      <c r="T174" s="2253">
        <f t="shared" si="95"/>
        <v>0.64474681490723917</v>
      </c>
      <c r="U174" s="2253">
        <f t="shared" si="95"/>
        <v>0.13584409297733629</v>
      </c>
      <c r="V174" s="453">
        <v>45322</v>
      </c>
      <c r="W174" s="889">
        <v>45616</v>
      </c>
      <c r="X174" s="1035" t="s">
        <v>5368</v>
      </c>
      <c r="Y174" s="3146"/>
    </row>
    <row r="175" spans="1:25" ht="40.5">
      <c r="A175" s="2876"/>
      <c r="B175" s="2876"/>
      <c r="C175" s="2876"/>
      <c r="D175" s="2876"/>
      <c r="E175" s="417" t="s">
        <v>2749</v>
      </c>
      <c r="F175" s="466"/>
      <c r="G175" s="213"/>
      <c r="H175" s="466"/>
      <c r="I175" s="213" t="s">
        <v>2750</v>
      </c>
      <c r="J175" s="213" t="s">
        <v>2751</v>
      </c>
      <c r="K175" s="445">
        <v>5</v>
      </c>
      <c r="L175" s="984">
        <v>0.3</v>
      </c>
      <c r="M175" s="413">
        <v>0</v>
      </c>
      <c r="N175" s="984">
        <v>0</v>
      </c>
      <c r="O175" s="2876"/>
      <c r="P175" s="466">
        <v>103264535</v>
      </c>
      <c r="Q175" s="466">
        <v>485446512</v>
      </c>
      <c r="R175" s="466">
        <v>0</v>
      </c>
      <c r="S175" s="466">
        <v>0</v>
      </c>
      <c r="T175" s="2253">
        <f t="shared" si="95"/>
        <v>0</v>
      </c>
      <c r="U175" s="2253">
        <f t="shared" si="95"/>
        <v>0</v>
      </c>
      <c r="V175" s="453"/>
      <c r="W175" s="889"/>
      <c r="X175" s="213"/>
      <c r="Y175" s="3147"/>
    </row>
    <row r="176" spans="1:25">
      <c r="A176" s="2823">
        <v>4148</v>
      </c>
      <c r="B176" s="2823"/>
      <c r="C176" s="2823" t="s">
        <v>109</v>
      </c>
      <c r="D176" s="3027" t="s">
        <v>2752</v>
      </c>
      <c r="E176" s="863" t="s">
        <v>2753</v>
      </c>
      <c r="F176" s="466"/>
      <c r="G176" s="213"/>
      <c r="H176" s="466">
        <f>H177</f>
        <v>0</v>
      </c>
      <c r="I176" s="213"/>
      <c r="J176" s="863"/>
      <c r="K176" s="445">
        <f t="shared" ref="K176:L176" si="99">K177</f>
        <v>120</v>
      </c>
      <c r="L176" s="984">
        <f t="shared" si="99"/>
        <v>1</v>
      </c>
      <c r="M176" s="413"/>
      <c r="N176" s="984">
        <f>N177</f>
        <v>0</v>
      </c>
      <c r="O176" s="3156">
        <f>IF(Q176&gt;0,N176,"na")</f>
        <v>0</v>
      </c>
      <c r="P176" s="466">
        <f t="shared" ref="P176:S176" si="100">P177</f>
        <v>149828320</v>
      </c>
      <c r="Q176" s="466">
        <f t="shared" si="100"/>
        <v>149828320</v>
      </c>
      <c r="R176" s="466">
        <f t="shared" si="100"/>
        <v>149828320</v>
      </c>
      <c r="S176" s="466">
        <f t="shared" si="100"/>
        <v>0</v>
      </c>
      <c r="T176" s="2253">
        <f t="shared" si="95"/>
        <v>1</v>
      </c>
      <c r="U176" s="2253">
        <f t="shared" si="95"/>
        <v>0</v>
      </c>
      <c r="V176" s="453"/>
      <c r="W176" s="889"/>
      <c r="X176" s="2260"/>
      <c r="Y176" s="2841" t="s">
        <v>2453</v>
      </c>
    </row>
    <row r="177" spans="1:25" ht="40.5">
      <c r="A177" s="2876"/>
      <c r="B177" s="2876"/>
      <c r="C177" s="2876"/>
      <c r="D177" s="2876"/>
      <c r="E177" s="863" t="s">
        <v>2754</v>
      </c>
      <c r="F177" s="466"/>
      <c r="G177" s="213" t="s">
        <v>2736</v>
      </c>
      <c r="H177" s="466">
        <v>0</v>
      </c>
      <c r="I177" s="213" t="s">
        <v>2755</v>
      </c>
      <c r="J177" s="863" t="s">
        <v>2741</v>
      </c>
      <c r="K177" s="445">
        <v>120</v>
      </c>
      <c r="L177" s="984">
        <v>1</v>
      </c>
      <c r="M177" s="413">
        <v>0</v>
      </c>
      <c r="N177" s="984">
        <v>0</v>
      </c>
      <c r="O177" s="2876"/>
      <c r="P177" s="466">
        <v>149828320</v>
      </c>
      <c r="Q177" s="466">
        <v>149828320</v>
      </c>
      <c r="R177" s="466">
        <v>149828320</v>
      </c>
      <c r="S177" s="466">
        <v>0</v>
      </c>
      <c r="T177" s="2253">
        <f t="shared" si="95"/>
        <v>1</v>
      </c>
      <c r="U177" s="2253">
        <f t="shared" si="95"/>
        <v>0</v>
      </c>
      <c r="V177" s="453">
        <v>45454</v>
      </c>
      <c r="W177" s="889">
        <v>45596</v>
      </c>
      <c r="X177" s="2260" t="s">
        <v>5369</v>
      </c>
      <c r="Y177" s="3147"/>
    </row>
    <row r="178" spans="1:25">
      <c r="A178" s="2823">
        <v>4148</v>
      </c>
      <c r="B178" s="2823"/>
      <c r="C178" s="2823" t="s">
        <v>109</v>
      </c>
      <c r="D178" s="3027" t="s">
        <v>2756</v>
      </c>
      <c r="E178" s="863" t="s">
        <v>2757</v>
      </c>
      <c r="F178" s="466"/>
      <c r="G178" s="213"/>
      <c r="H178" s="466">
        <f>H179</f>
        <v>0</v>
      </c>
      <c r="I178" s="213"/>
      <c r="J178" s="863"/>
      <c r="K178" s="445">
        <f t="shared" ref="K178:L178" si="101">K179</f>
        <v>800</v>
      </c>
      <c r="L178" s="984">
        <f t="shared" si="101"/>
        <v>1</v>
      </c>
      <c r="M178" s="413"/>
      <c r="N178" s="984">
        <f>N179</f>
        <v>0</v>
      </c>
      <c r="O178" s="3156">
        <f>IF(Q178&gt;0,N178,"na")</f>
        <v>0</v>
      </c>
      <c r="P178" s="466">
        <f t="shared" ref="P178:S178" si="102">P179</f>
        <v>430884415</v>
      </c>
      <c r="Q178" s="466">
        <f t="shared" si="102"/>
        <v>430884415</v>
      </c>
      <c r="R178" s="466">
        <f t="shared" si="102"/>
        <v>430884415</v>
      </c>
      <c r="S178" s="466">
        <f t="shared" si="102"/>
        <v>0</v>
      </c>
      <c r="T178" s="2253">
        <f t="shared" si="95"/>
        <v>1</v>
      </c>
      <c r="U178" s="2253">
        <f t="shared" si="95"/>
        <v>0</v>
      </c>
      <c r="V178" s="453"/>
      <c r="W178" s="889"/>
      <c r="X178" s="2260"/>
      <c r="Y178" s="2841" t="s">
        <v>2453</v>
      </c>
    </row>
    <row r="179" spans="1:25" ht="40.5">
      <c r="A179" s="2876"/>
      <c r="B179" s="2876"/>
      <c r="C179" s="2876"/>
      <c r="D179" s="2876"/>
      <c r="E179" s="863" t="s">
        <v>2758</v>
      </c>
      <c r="F179" s="466"/>
      <c r="G179" s="213" t="s">
        <v>2736</v>
      </c>
      <c r="H179" s="466">
        <v>0</v>
      </c>
      <c r="I179" s="213" t="s">
        <v>2759</v>
      </c>
      <c r="J179" s="863" t="s">
        <v>106</v>
      </c>
      <c r="K179" s="445">
        <v>800</v>
      </c>
      <c r="L179" s="984">
        <v>1</v>
      </c>
      <c r="M179" s="413">
        <v>0</v>
      </c>
      <c r="N179" s="984">
        <v>0</v>
      </c>
      <c r="O179" s="2876"/>
      <c r="P179" s="466">
        <v>430884415</v>
      </c>
      <c r="Q179" s="466">
        <v>430884415</v>
      </c>
      <c r="R179" s="466">
        <v>430884415</v>
      </c>
      <c r="S179" s="466">
        <v>0</v>
      </c>
      <c r="T179" s="2253">
        <f t="shared" si="95"/>
        <v>1</v>
      </c>
      <c r="U179" s="2253">
        <f t="shared" si="95"/>
        <v>0</v>
      </c>
      <c r="V179" s="453">
        <v>45457</v>
      </c>
      <c r="W179" s="889">
        <v>45609</v>
      </c>
      <c r="X179" s="2260" t="s">
        <v>5370</v>
      </c>
      <c r="Y179" s="3147"/>
    </row>
    <row r="180" spans="1:25">
      <c r="A180" s="2823">
        <v>4148</v>
      </c>
      <c r="B180" s="2823"/>
      <c r="C180" s="2823" t="s">
        <v>109</v>
      </c>
      <c r="D180" s="3027" t="s">
        <v>2760</v>
      </c>
      <c r="E180" s="863" t="s">
        <v>2761</v>
      </c>
      <c r="F180" s="466"/>
      <c r="G180" s="213"/>
      <c r="H180" s="466">
        <f>H181</f>
        <v>0</v>
      </c>
      <c r="I180" s="213"/>
      <c r="J180" s="863"/>
      <c r="K180" s="445">
        <f t="shared" ref="K180:L180" si="103">K181</f>
        <v>70</v>
      </c>
      <c r="L180" s="984">
        <f t="shared" si="103"/>
        <v>1</v>
      </c>
      <c r="M180" s="413"/>
      <c r="N180" s="984">
        <f>N181</f>
        <v>0</v>
      </c>
      <c r="O180" s="3156">
        <f>IF(Q180&gt;0,N180,"na")</f>
        <v>0</v>
      </c>
      <c r="P180" s="466">
        <f t="shared" ref="P180:S180" si="104">P181</f>
        <v>54500000</v>
      </c>
      <c r="Q180" s="466">
        <f t="shared" si="104"/>
        <v>54500000</v>
      </c>
      <c r="R180" s="466">
        <f t="shared" si="104"/>
        <v>54500000</v>
      </c>
      <c r="S180" s="466">
        <f t="shared" si="104"/>
        <v>0</v>
      </c>
      <c r="T180" s="2253">
        <f t="shared" si="95"/>
        <v>1</v>
      </c>
      <c r="U180" s="2253">
        <f t="shared" si="95"/>
        <v>0</v>
      </c>
      <c r="V180" s="453"/>
      <c r="W180" s="889"/>
      <c r="X180" s="2260"/>
      <c r="Y180" s="2841" t="s">
        <v>2453</v>
      </c>
    </row>
    <row r="181" spans="1:25" ht="40.5">
      <c r="A181" s="2876"/>
      <c r="B181" s="2876"/>
      <c r="C181" s="2876"/>
      <c r="D181" s="2876"/>
      <c r="E181" s="863" t="s">
        <v>2762</v>
      </c>
      <c r="F181" s="466"/>
      <c r="G181" s="213" t="s">
        <v>2736</v>
      </c>
      <c r="H181" s="466">
        <v>0</v>
      </c>
      <c r="I181" s="213" t="s">
        <v>2763</v>
      </c>
      <c r="J181" s="863" t="s">
        <v>106</v>
      </c>
      <c r="K181" s="445">
        <v>70</v>
      </c>
      <c r="L181" s="984">
        <v>1</v>
      </c>
      <c r="M181" s="413">
        <v>0</v>
      </c>
      <c r="N181" s="984">
        <v>0</v>
      </c>
      <c r="O181" s="2876"/>
      <c r="P181" s="466">
        <v>54500000</v>
      </c>
      <c r="Q181" s="466">
        <v>54500000</v>
      </c>
      <c r="R181" s="466">
        <v>54500000</v>
      </c>
      <c r="S181" s="466">
        <v>0</v>
      </c>
      <c r="T181" s="2253">
        <f t="shared" si="95"/>
        <v>1</v>
      </c>
      <c r="U181" s="2253">
        <f t="shared" si="95"/>
        <v>0</v>
      </c>
      <c r="V181" s="453">
        <v>45454</v>
      </c>
      <c r="W181" s="889">
        <v>45596</v>
      </c>
      <c r="X181" s="2260" t="s">
        <v>5371</v>
      </c>
      <c r="Y181" s="3147"/>
    </row>
    <row r="182" spans="1:25">
      <c r="A182" s="2823">
        <v>4148</v>
      </c>
      <c r="B182" s="2823"/>
      <c r="C182" s="2823" t="s">
        <v>109</v>
      </c>
      <c r="D182" s="3027" t="s">
        <v>2764</v>
      </c>
      <c r="E182" s="863" t="s">
        <v>2765</v>
      </c>
      <c r="F182" s="466"/>
      <c r="G182" s="213"/>
      <c r="H182" s="466">
        <f>H183</f>
        <v>0</v>
      </c>
      <c r="I182" s="213"/>
      <c r="J182" s="863"/>
      <c r="K182" s="445">
        <f t="shared" ref="K182:L182" si="105">K183</f>
        <v>200</v>
      </c>
      <c r="L182" s="984">
        <f t="shared" si="105"/>
        <v>1</v>
      </c>
      <c r="M182" s="413"/>
      <c r="N182" s="984">
        <f>N183</f>
        <v>0</v>
      </c>
      <c r="O182" s="3156">
        <f>IF(Q182&gt;0,N182,"na")</f>
        <v>0</v>
      </c>
      <c r="P182" s="466">
        <f t="shared" ref="P182:S182" si="106">P183</f>
        <v>207478915</v>
      </c>
      <c r="Q182" s="466">
        <f t="shared" si="106"/>
        <v>207478915</v>
      </c>
      <c r="R182" s="466">
        <f t="shared" si="106"/>
        <v>207478915</v>
      </c>
      <c r="S182" s="466">
        <f t="shared" si="106"/>
        <v>0</v>
      </c>
      <c r="T182" s="2253">
        <f t="shared" si="95"/>
        <v>1</v>
      </c>
      <c r="U182" s="2253">
        <f t="shared" si="95"/>
        <v>0</v>
      </c>
      <c r="V182" s="453"/>
      <c r="W182" s="889"/>
      <c r="X182" s="2260"/>
      <c r="Y182" s="2841" t="s">
        <v>2453</v>
      </c>
    </row>
    <row r="183" spans="1:25" ht="40.5">
      <c r="A183" s="2876"/>
      <c r="B183" s="2876"/>
      <c r="C183" s="2876"/>
      <c r="D183" s="2876"/>
      <c r="E183" s="863" t="s">
        <v>2766</v>
      </c>
      <c r="F183" s="466"/>
      <c r="G183" s="213" t="s">
        <v>2736</v>
      </c>
      <c r="H183" s="466">
        <v>0</v>
      </c>
      <c r="I183" s="213" t="s">
        <v>2767</v>
      </c>
      <c r="J183" s="863" t="s">
        <v>106</v>
      </c>
      <c r="K183" s="445">
        <v>200</v>
      </c>
      <c r="L183" s="984">
        <v>1</v>
      </c>
      <c r="M183" s="413">
        <v>0</v>
      </c>
      <c r="N183" s="984">
        <v>0</v>
      </c>
      <c r="O183" s="2876"/>
      <c r="P183" s="466">
        <v>207478915</v>
      </c>
      <c r="Q183" s="466">
        <v>207478915</v>
      </c>
      <c r="R183" s="466">
        <v>207478915</v>
      </c>
      <c r="S183" s="466">
        <v>0</v>
      </c>
      <c r="T183" s="2253">
        <f t="shared" si="95"/>
        <v>1</v>
      </c>
      <c r="U183" s="2253">
        <f t="shared" si="95"/>
        <v>0</v>
      </c>
      <c r="V183" s="453">
        <v>45472</v>
      </c>
      <c r="W183" s="889">
        <v>45624</v>
      </c>
      <c r="X183" s="213" t="s">
        <v>5372</v>
      </c>
      <c r="Y183" s="3147"/>
    </row>
    <row r="184" spans="1:25">
      <c r="A184" s="2823">
        <v>4148</v>
      </c>
      <c r="B184" s="2823"/>
      <c r="C184" s="2823" t="s">
        <v>109</v>
      </c>
      <c r="D184" s="3027" t="s">
        <v>2768</v>
      </c>
      <c r="E184" s="863" t="s">
        <v>2769</v>
      </c>
      <c r="F184" s="466"/>
      <c r="G184" s="213"/>
      <c r="H184" s="466">
        <f>H185</f>
        <v>0</v>
      </c>
      <c r="I184" s="213"/>
      <c r="J184" s="863"/>
      <c r="K184" s="445">
        <f t="shared" ref="K184:L184" si="107">K185</f>
        <v>488</v>
      </c>
      <c r="L184" s="984">
        <f t="shared" si="107"/>
        <v>1</v>
      </c>
      <c r="M184" s="413"/>
      <c r="N184" s="984">
        <f>N185</f>
        <v>0</v>
      </c>
      <c r="O184" s="3156">
        <f>IF(Q184&gt;0,N184,"na")</f>
        <v>0</v>
      </c>
      <c r="P184" s="466">
        <f t="shared" ref="P184:S184" si="108">P185</f>
        <v>407470500</v>
      </c>
      <c r="Q184" s="466">
        <f t="shared" si="108"/>
        <v>407470500</v>
      </c>
      <c r="R184" s="466">
        <f t="shared" si="108"/>
        <v>0</v>
      </c>
      <c r="S184" s="466">
        <f t="shared" si="108"/>
        <v>0</v>
      </c>
      <c r="T184" s="2253">
        <f t="shared" si="95"/>
        <v>0</v>
      </c>
      <c r="U184" s="2253">
        <f t="shared" si="95"/>
        <v>0</v>
      </c>
      <c r="V184" s="453"/>
      <c r="W184" s="889"/>
      <c r="X184" s="2260"/>
      <c r="Y184" s="2841" t="s">
        <v>2453</v>
      </c>
    </row>
    <row r="185" spans="1:25" ht="40.5">
      <c r="A185" s="2876"/>
      <c r="B185" s="2876"/>
      <c r="C185" s="2876"/>
      <c r="D185" s="2876"/>
      <c r="E185" s="863" t="s">
        <v>2770</v>
      </c>
      <c r="F185" s="466"/>
      <c r="G185" s="213" t="s">
        <v>2736</v>
      </c>
      <c r="H185" s="466">
        <v>0</v>
      </c>
      <c r="I185" s="213" t="s">
        <v>2771</v>
      </c>
      <c r="J185" s="863" t="s">
        <v>106</v>
      </c>
      <c r="K185" s="445">
        <v>488</v>
      </c>
      <c r="L185" s="984">
        <v>1</v>
      </c>
      <c r="M185" s="413">
        <v>0</v>
      </c>
      <c r="N185" s="984">
        <v>0</v>
      </c>
      <c r="O185" s="2876"/>
      <c r="P185" s="466">
        <v>407470500</v>
      </c>
      <c r="Q185" s="466">
        <v>407470500</v>
      </c>
      <c r="R185" s="466">
        <v>0</v>
      </c>
      <c r="S185" s="466">
        <v>0</v>
      </c>
      <c r="T185" s="2253">
        <f t="shared" ref="T185:U200" si="109">IF(Q185=0,0,R185/Q185)</f>
        <v>0</v>
      </c>
      <c r="U185" s="2253">
        <f t="shared" si="109"/>
        <v>0</v>
      </c>
      <c r="V185" s="453"/>
      <c r="W185" s="889"/>
      <c r="X185" s="2260"/>
      <c r="Y185" s="3147"/>
    </row>
    <row r="186" spans="1:25">
      <c r="A186" s="2823">
        <v>4148</v>
      </c>
      <c r="B186" s="2823"/>
      <c r="C186" s="2823" t="s">
        <v>109</v>
      </c>
      <c r="D186" s="3027" t="s">
        <v>2772</v>
      </c>
      <c r="E186" s="863" t="s">
        <v>2773</v>
      </c>
      <c r="F186" s="466"/>
      <c r="G186" s="213"/>
      <c r="H186" s="466">
        <f>H187</f>
        <v>0</v>
      </c>
      <c r="I186" s="213"/>
      <c r="J186" s="863"/>
      <c r="K186" s="445">
        <f t="shared" ref="K186:L186" si="110">K187</f>
        <v>300</v>
      </c>
      <c r="L186" s="984">
        <f t="shared" si="110"/>
        <v>1</v>
      </c>
      <c r="M186" s="413"/>
      <c r="N186" s="984">
        <f>N187</f>
        <v>0</v>
      </c>
      <c r="O186" s="3156">
        <f>IF(Q186&gt;0,N186,"na")</f>
        <v>0</v>
      </c>
      <c r="P186" s="466">
        <f t="shared" ref="P186:S186" si="111">P187</f>
        <v>105450000</v>
      </c>
      <c r="Q186" s="466">
        <f t="shared" si="111"/>
        <v>105450000</v>
      </c>
      <c r="R186" s="466">
        <f t="shared" si="111"/>
        <v>105450000</v>
      </c>
      <c r="S186" s="466">
        <f t="shared" si="111"/>
        <v>0</v>
      </c>
      <c r="T186" s="2253">
        <f t="shared" si="109"/>
        <v>1</v>
      </c>
      <c r="U186" s="2253">
        <f t="shared" si="109"/>
        <v>0</v>
      </c>
      <c r="V186" s="453"/>
      <c r="W186" s="889"/>
      <c r="X186" s="2260"/>
      <c r="Y186" s="2841" t="s">
        <v>2453</v>
      </c>
    </row>
    <row r="187" spans="1:25" ht="67.5">
      <c r="A187" s="2876"/>
      <c r="B187" s="2876"/>
      <c r="C187" s="2876"/>
      <c r="D187" s="2876"/>
      <c r="E187" s="863" t="s">
        <v>2774</v>
      </c>
      <c r="F187" s="466"/>
      <c r="G187" s="213" t="s">
        <v>2736</v>
      </c>
      <c r="H187" s="466">
        <v>0</v>
      </c>
      <c r="I187" s="213" t="s">
        <v>2775</v>
      </c>
      <c r="J187" s="863" t="s">
        <v>106</v>
      </c>
      <c r="K187" s="445">
        <v>300</v>
      </c>
      <c r="L187" s="984">
        <v>1</v>
      </c>
      <c r="M187" s="413">
        <v>0</v>
      </c>
      <c r="N187" s="984">
        <v>0</v>
      </c>
      <c r="O187" s="2876"/>
      <c r="P187" s="466">
        <v>105450000</v>
      </c>
      <c r="Q187" s="466">
        <v>105450000</v>
      </c>
      <c r="R187" s="466">
        <v>105450000</v>
      </c>
      <c r="S187" s="466">
        <v>0</v>
      </c>
      <c r="T187" s="2253">
        <f t="shared" si="109"/>
        <v>1</v>
      </c>
      <c r="U187" s="2253">
        <f t="shared" si="109"/>
        <v>0</v>
      </c>
      <c r="V187" s="453">
        <v>45443</v>
      </c>
      <c r="W187" s="889">
        <v>45626</v>
      </c>
      <c r="X187" s="2260" t="s">
        <v>5373</v>
      </c>
      <c r="Y187" s="3147"/>
    </row>
    <row r="188" spans="1:25">
      <c r="A188" s="2823">
        <v>4148</v>
      </c>
      <c r="B188" s="2823"/>
      <c r="C188" s="2823" t="s">
        <v>109</v>
      </c>
      <c r="D188" s="3027" t="s">
        <v>2776</v>
      </c>
      <c r="E188" s="863" t="s">
        <v>2777</v>
      </c>
      <c r="F188" s="466"/>
      <c r="G188" s="213"/>
      <c r="H188" s="466">
        <f>H189</f>
        <v>0</v>
      </c>
      <c r="I188" s="213"/>
      <c r="J188" s="863"/>
      <c r="K188" s="445">
        <f t="shared" ref="K188:L188" si="112">K189</f>
        <v>100</v>
      </c>
      <c r="L188" s="984">
        <f t="shared" si="112"/>
        <v>1</v>
      </c>
      <c r="M188" s="413"/>
      <c r="N188" s="984">
        <f>N189</f>
        <v>0</v>
      </c>
      <c r="O188" s="3156">
        <f>IF(Q188&gt;0,N188,"na")</f>
        <v>0</v>
      </c>
      <c r="P188" s="466">
        <f t="shared" ref="P188:S188" si="113">P189</f>
        <v>174000000</v>
      </c>
      <c r="Q188" s="466">
        <f t="shared" si="113"/>
        <v>174000000</v>
      </c>
      <c r="R188" s="466">
        <f t="shared" si="113"/>
        <v>174000000</v>
      </c>
      <c r="S188" s="466">
        <f t="shared" si="113"/>
        <v>0</v>
      </c>
      <c r="T188" s="2253">
        <f t="shared" si="109"/>
        <v>1</v>
      </c>
      <c r="U188" s="2253">
        <f t="shared" si="109"/>
        <v>0</v>
      </c>
      <c r="V188" s="453"/>
      <c r="W188" s="889"/>
      <c r="X188" s="2260"/>
      <c r="Y188" s="2841" t="s">
        <v>2453</v>
      </c>
    </row>
    <row r="189" spans="1:25" ht="40.5">
      <c r="A189" s="2876"/>
      <c r="B189" s="2876"/>
      <c r="C189" s="2876"/>
      <c r="D189" s="2876"/>
      <c r="E189" s="863" t="s">
        <v>2778</v>
      </c>
      <c r="F189" s="466"/>
      <c r="G189" s="213" t="s">
        <v>2736</v>
      </c>
      <c r="H189" s="466">
        <v>0</v>
      </c>
      <c r="I189" s="213" t="s">
        <v>2779</v>
      </c>
      <c r="J189" s="863" t="s">
        <v>106</v>
      </c>
      <c r="K189" s="445">
        <v>100</v>
      </c>
      <c r="L189" s="984">
        <v>1</v>
      </c>
      <c r="M189" s="413">
        <v>0</v>
      </c>
      <c r="N189" s="984">
        <v>0</v>
      </c>
      <c r="O189" s="2876"/>
      <c r="P189" s="466">
        <v>174000000</v>
      </c>
      <c r="Q189" s="466">
        <v>174000000</v>
      </c>
      <c r="R189" s="466">
        <v>174000000</v>
      </c>
      <c r="S189" s="466">
        <v>0</v>
      </c>
      <c r="T189" s="2253">
        <f t="shared" si="109"/>
        <v>1</v>
      </c>
      <c r="U189" s="2253">
        <f t="shared" si="109"/>
        <v>0</v>
      </c>
      <c r="V189" s="453">
        <v>45454</v>
      </c>
      <c r="W189" s="889">
        <v>45596</v>
      </c>
      <c r="X189" s="2260" t="s">
        <v>5374</v>
      </c>
      <c r="Y189" s="3147"/>
    </row>
    <row r="190" spans="1:25">
      <c r="A190" s="2823">
        <v>4148</v>
      </c>
      <c r="B190" s="2823"/>
      <c r="C190" s="2823" t="s">
        <v>109</v>
      </c>
      <c r="D190" s="3027" t="s">
        <v>2780</v>
      </c>
      <c r="E190" s="863" t="s">
        <v>2781</v>
      </c>
      <c r="F190" s="466"/>
      <c r="G190" s="213"/>
      <c r="H190" s="466">
        <f>H191</f>
        <v>0</v>
      </c>
      <c r="I190" s="213"/>
      <c r="J190" s="863"/>
      <c r="K190" s="445">
        <f t="shared" ref="K190:L190" si="114">K191</f>
        <v>400</v>
      </c>
      <c r="L190" s="984">
        <f t="shared" si="114"/>
        <v>1</v>
      </c>
      <c r="M190" s="413"/>
      <c r="N190" s="984">
        <f>N191</f>
        <v>0</v>
      </c>
      <c r="O190" s="3156">
        <f>IF(Q190&gt;0,N190,"na")</f>
        <v>0</v>
      </c>
      <c r="P190" s="466">
        <f t="shared" ref="P190:S190" si="115">P191</f>
        <v>234381992</v>
      </c>
      <c r="Q190" s="466">
        <f t="shared" si="115"/>
        <v>234381992</v>
      </c>
      <c r="R190" s="466">
        <f t="shared" si="115"/>
        <v>234381992</v>
      </c>
      <c r="S190" s="466">
        <f t="shared" si="115"/>
        <v>0</v>
      </c>
      <c r="T190" s="2253">
        <f t="shared" si="109"/>
        <v>1</v>
      </c>
      <c r="U190" s="2253">
        <f t="shared" si="109"/>
        <v>0</v>
      </c>
      <c r="V190" s="453"/>
      <c r="W190" s="889"/>
      <c r="X190" s="2260"/>
      <c r="Y190" s="2841" t="s">
        <v>2453</v>
      </c>
    </row>
    <row r="191" spans="1:25" ht="40.5">
      <c r="A191" s="2876"/>
      <c r="B191" s="2876"/>
      <c r="C191" s="2876"/>
      <c r="D191" s="2876"/>
      <c r="E191" s="863" t="s">
        <v>2782</v>
      </c>
      <c r="F191" s="466"/>
      <c r="G191" s="213" t="s">
        <v>2736</v>
      </c>
      <c r="H191" s="466">
        <v>0</v>
      </c>
      <c r="I191" s="213" t="s">
        <v>2783</v>
      </c>
      <c r="J191" s="863" t="s">
        <v>106</v>
      </c>
      <c r="K191" s="445">
        <v>400</v>
      </c>
      <c r="L191" s="984">
        <v>1</v>
      </c>
      <c r="M191" s="413">
        <v>0</v>
      </c>
      <c r="N191" s="984">
        <v>0</v>
      </c>
      <c r="O191" s="2876"/>
      <c r="P191" s="466">
        <v>234381992</v>
      </c>
      <c r="Q191" s="466">
        <v>234381992</v>
      </c>
      <c r="R191" s="466">
        <v>234381992</v>
      </c>
      <c r="S191" s="466">
        <v>0</v>
      </c>
      <c r="T191" s="2253">
        <f t="shared" si="109"/>
        <v>1</v>
      </c>
      <c r="U191" s="2253">
        <f t="shared" si="109"/>
        <v>0</v>
      </c>
      <c r="V191" s="453">
        <v>45454</v>
      </c>
      <c r="W191" s="889">
        <v>45602</v>
      </c>
      <c r="X191" s="2260" t="s">
        <v>5375</v>
      </c>
      <c r="Y191" s="3147"/>
    </row>
    <row r="192" spans="1:25">
      <c r="A192" s="2823">
        <v>4148</v>
      </c>
      <c r="B192" s="2823"/>
      <c r="C192" s="2823" t="s">
        <v>109</v>
      </c>
      <c r="D192" s="3027" t="s">
        <v>2784</v>
      </c>
      <c r="E192" s="863" t="s">
        <v>2785</v>
      </c>
      <c r="F192" s="466"/>
      <c r="G192" s="213"/>
      <c r="H192" s="466">
        <f>H193</f>
        <v>0</v>
      </c>
      <c r="I192" s="213"/>
      <c r="J192" s="863"/>
      <c r="K192" s="445">
        <f t="shared" ref="K192:L192" si="116">K193</f>
        <v>150</v>
      </c>
      <c r="L192" s="984">
        <f t="shared" si="116"/>
        <v>1</v>
      </c>
      <c r="M192" s="413"/>
      <c r="N192" s="984">
        <f>N193</f>
        <v>0</v>
      </c>
      <c r="O192" s="3156">
        <f>IF(Q192&gt;0,N192,"na")</f>
        <v>0</v>
      </c>
      <c r="P192" s="466">
        <f t="shared" ref="P192:S192" si="117">P193</f>
        <v>119414605</v>
      </c>
      <c r="Q192" s="466">
        <f t="shared" si="117"/>
        <v>119414605</v>
      </c>
      <c r="R192" s="466">
        <f t="shared" si="117"/>
        <v>119414605</v>
      </c>
      <c r="S192" s="466">
        <f t="shared" si="117"/>
        <v>0</v>
      </c>
      <c r="T192" s="2253">
        <f t="shared" si="109"/>
        <v>1</v>
      </c>
      <c r="U192" s="2253">
        <f t="shared" si="109"/>
        <v>0</v>
      </c>
      <c r="V192" s="453"/>
      <c r="W192" s="889"/>
      <c r="X192" s="2260"/>
      <c r="Y192" s="2841" t="s">
        <v>2453</v>
      </c>
    </row>
    <row r="193" spans="1:25" ht="40.5">
      <c r="A193" s="2876"/>
      <c r="B193" s="2876"/>
      <c r="C193" s="2876"/>
      <c r="D193" s="2876"/>
      <c r="E193" s="863" t="s">
        <v>2786</v>
      </c>
      <c r="F193" s="466"/>
      <c r="G193" s="213" t="s">
        <v>2736</v>
      </c>
      <c r="H193" s="466">
        <v>0</v>
      </c>
      <c r="I193" s="213" t="s">
        <v>2787</v>
      </c>
      <c r="J193" s="863" t="s">
        <v>106</v>
      </c>
      <c r="K193" s="445">
        <v>150</v>
      </c>
      <c r="L193" s="984">
        <v>1</v>
      </c>
      <c r="M193" s="413">
        <v>0</v>
      </c>
      <c r="N193" s="984">
        <v>0</v>
      </c>
      <c r="O193" s="2876"/>
      <c r="P193" s="466">
        <v>119414605</v>
      </c>
      <c r="Q193" s="466">
        <v>119414605</v>
      </c>
      <c r="R193" s="466">
        <v>119414605</v>
      </c>
      <c r="S193" s="466">
        <v>0</v>
      </c>
      <c r="T193" s="2253">
        <f t="shared" si="109"/>
        <v>1</v>
      </c>
      <c r="U193" s="2253">
        <f t="shared" si="109"/>
        <v>0</v>
      </c>
      <c r="V193" s="453">
        <v>45454</v>
      </c>
      <c r="W193" s="889">
        <v>45596</v>
      </c>
      <c r="X193" s="2260" t="s">
        <v>5376</v>
      </c>
      <c r="Y193" s="3147"/>
    </row>
    <row r="194" spans="1:25">
      <c r="A194" s="2823">
        <v>4148</v>
      </c>
      <c r="B194" s="2823"/>
      <c r="C194" s="2823" t="s">
        <v>109</v>
      </c>
      <c r="D194" s="3027" t="s">
        <v>2788</v>
      </c>
      <c r="E194" s="863" t="s">
        <v>2789</v>
      </c>
      <c r="F194" s="466"/>
      <c r="G194" s="213"/>
      <c r="H194" s="466">
        <f>H195</f>
        <v>0</v>
      </c>
      <c r="I194" s="213"/>
      <c r="J194" s="863"/>
      <c r="K194" s="445">
        <f t="shared" ref="K194:L194" si="118">K195</f>
        <v>140</v>
      </c>
      <c r="L194" s="984">
        <f t="shared" si="118"/>
        <v>1</v>
      </c>
      <c r="M194" s="413"/>
      <c r="N194" s="984">
        <f>N195</f>
        <v>0</v>
      </c>
      <c r="O194" s="3156">
        <f>IF(Q194&gt;0,N194,"na")</f>
        <v>0</v>
      </c>
      <c r="P194" s="466">
        <f t="shared" ref="P194:S194" si="119">P195</f>
        <v>129038171</v>
      </c>
      <c r="Q194" s="466">
        <f t="shared" si="119"/>
        <v>129038171</v>
      </c>
      <c r="R194" s="466">
        <f t="shared" si="119"/>
        <v>129038171</v>
      </c>
      <c r="S194" s="466">
        <f t="shared" si="119"/>
        <v>0</v>
      </c>
      <c r="T194" s="2253">
        <f t="shared" si="109"/>
        <v>1</v>
      </c>
      <c r="U194" s="2253">
        <f t="shared" si="109"/>
        <v>0</v>
      </c>
      <c r="V194" s="453"/>
      <c r="W194" s="889"/>
      <c r="X194" s="2260"/>
      <c r="Y194" s="2841" t="s">
        <v>2453</v>
      </c>
    </row>
    <row r="195" spans="1:25" ht="40.5">
      <c r="A195" s="2876"/>
      <c r="B195" s="2876"/>
      <c r="C195" s="2876"/>
      <c r="D195" s="2876"/>
      <c r="E195" s="863" t="s">
        <v>2790</v>
      </c>
      <c r="F195" s="466"/>
      <c r="G195" s="213" t="s">
        <v>2736</v>
      </c>
      <c r="H195" s="466">
        <v>0</v>
      </c>
      <c r="I195" s="213" t="s">
        <v>2791</v>
      </c>
      <c r="J195" s="863" t="s">
        <v>106</v>
      </c>
      <c r="K195" s="445">
        <v>140</v>
      </c>
      <c r="L195" s="984">
        <v>1</v>
      </c>
      <c r="M195" s="413">
        <v>0</v>
      </c>
      <c r="N195" s="984">
        <v>0</v>
      </c>
      <c r="O195" s="2876"/>
      <c r="P195" s="466">
        <v>129038171</v>
      </c>
      <c r="Q195" s="466">
        <v>129038171</v>
      </c>
      <c r="R195" s="466">
        <v>129038171</v>
      </c>
      <c r="S195" s="466">
        <v>0</v>
      </c>
      <c r="T195" s="2253">
        <f t="shared" si="109"/>
        <v>1</v>
      </c>
      <c r="U195" s="2253">
        <f t="shared" si="109"/>
        <v>0</v>
      </c>
      <c r="V195" s="453">
        <v>45463</v>
      </c>
      <c r="W195" s="889">
        <v>45565</v>
      </c>
      <c r="X195" s="2260" t="s">
        <v>5377</v>
      </c>
      <c r="Y195" s="3147"/>
    </row>
    <row r="196" spans="1:25">
      <c r="A196" s="2823">
        <v>4148</v>
      </c>
      <c r="B196" s="2823"/>
      <c r="C196" s="2823" t="s">
        <v>109</v>
      </c>
      <c r="D196" s="3027" t="s">
        <v>2792</v>
      </c>
      <c r="E196" s="863" t="s">
        <v>2793</v>
      </c>
      <c r="F196" s="466"/>
      <c r="G196" s="213"/>
      <c r="H196" s="466">
        <f>H197</f>
        <v>0</v>
      </c>
      <c r="I196" s="213"/>
      <c r="J196" s="863"/>
      <c r="K196" s="445">
        <f t="shared" ref="K196:L196" si="120">K197</f>
        <v>230</v>
      </c>
      <c r="L196" s="984">
        <f t="shared" si="120"/>
        <v>1</v>
      </c>
      <c r="M196" s="413"/>
      <c r="N196" s="984">
        <f>N197</f>
        <v>0</v>
      </c>
      <c r="O196" s="3156">
        <f>IF(Q196&gt;0,N196,"na")</f>
        <v>0</v>
      </c>
      <c r="P196" s="466">
        <f t="shared" ref="P196:S196" si="121">P197</f>
        <v>121124531</v>
      </c>
      <c r="Q196" s="466">
        <f t="shared" si="121"/>
        <v>121124531</v>
      </c>
      <c r="R196" s="466">
        <f t="shared" si="121"/>
        <v>0</v>
      </c>
      <c r="S196" s="466">
        <f t="shared" si="121"/>
        <v>0</v>
      </c>
      <c r="T196" s="2253">
        <f t="shared" si="109"/>
        <v>0</v>
      </c>
      <c r="U196" s="2253">
        <f t="shared" si="109"/>
        <v>0</v>
      </c>
      <c r="V196" s="453"/>
      <c r="W196" s="889"/>
      <c r="X196" s="2260"/>
      <c r="Y196" s="2841" t="s">
        <v>2453</v>
      </c>
    </row>
    <row r="197" spans="1:25" ht="40.5">
      <c r="A197" s="2876"/>
      <c r="B197" s="2876"/>
      <c r="C197" s="2876"/>
      <c r="D197" s="2876"/>
      <c r="E197" s="863" t="s">
        <v>2794</v>
      </c>
      <c r="F197" s="466"/>
      <c r="G197" s="213" t="s">
        <v>2736</v>
      </c>
      <c r="H197" s="466">
        <v>0</v>
      </c>
      <c r="I197" s="213" t="s">
        <v>2795</v>
      </c>
      <c r="J197" s="863" t="s">
        <v>106</v>
      </c>
      <c r="K197" s="445">
        <v>230</v>
      </c>
      <c r="L197" s="984">
        <v>1</v>
      </c>
      <c r="M197" s="413">
        <v>0</v>
      </c>
      <c r="N197" s="984">
        <v>0</v>
      </c>
      <c r="O197" s="2876"/>
      <c r="P197" s="466">
        <v>121124531</v>
      </c>
      <c r="Q197" s="466">
        <v>121124531</v>
      </c>
      <c r="R197" s="466">
        <v>0</v>
      </c>
      <c r="S197" s="466">
        <v>0</v>
      </c>
      <c r="T197" s="2253">
        <f t="shared" si="109"/>
        <v>0</v>
      </c>
      <c r="U197" s="2253">
        <f t="shared" si="109"/>
        <v>0</v>
      </c>
      <c r="V197" s="453"/>
      <c r="W197" s="889"/>
      <c r="X197" s="2260"/>
      <c r="Y197" s="3147"/>
    </row>
    <row r="198" spans="1:25">
      <c r="A198" s="2823">
        <v>4148</v>
      </c>
      <c r="B198" s="2823"/>
      <c r="C198" s="2823" t="s">
        <v>109</v>
      </c>
      <c r="D198" s="3027" t="s">
        <v>2796</v>
      </c>
      <c r="E198" s="863" t="s">
        <v>2797</v>
      </c>
      <c r="F198" s="466"/>
      <c r="G198" s="213"/>
      <c r="H198" s="466">
        <f>H199</f>
        <v>0</v>
      </c>
      <c r="I198" s="213"/>
      <c r="J198" s="863"/>
      <c r="K198" s="445">
        <f t="shared" ref="K198:L198" si="122">K199</f>
        <v>390</v>
      </c>
      <c r="L198" s="984">
        <f t="shared" si="122"/>
        <v>1</v>
      </c>
      <c r="M198" s="413"/>
      <c r="N198" s="984">
        <f>N199</f>
        <v>0</v>
      </c>
      <c r="O198" s="3156">
        <f>IF(Q198&gt;0,N198,"na")</f>
        <v>0</v>
      </c>
      <c r="P198" s="466">
        <f t="shared" ref="P198:S198" si="123">P199</f>
        <v>277198530</v>
      </c>
      <c r="Q198" s="466">
        <f t="shared" si="123"/>
        <v>277198530</v>
      </c>
      <c r="R198" s="466">
        <f t="shared" si="123"/>
        <v>277198530</v>
      </c>
      <c r="S198" s="466">
        <f t="shared" si="123"/>
        <v>0</v>
      </c>
      <c r="T198" s="2253">
        <f t="shared" si="109"/>
        <v>1</v>
      </c>
      <c r="U198" s="2253">
        <f t="shared" si="109"/>
        <v>0</v>
      </c>
      <c r="V198" s="453"/>
      <c r="W198" s="889"/>
      <c r="X198" s="2260"/>
      <c r="Y198" s="2841" t="s">
        <v>2453</v>
      </c>
    </row>
    <row r="199" spans="1:25" ht="40.5">
      <c r="A199" s="2876"/>
      <c r="B199" s="2876"/>
      <c r="C199" s="2876"/>
      <c r="D199" s="2876"/>
      <c r="E199" s="863" t="s">
        <v>2798</v>
      </c>
      <c r="F199" s="466"/>
      <c r="G199" s="213" t="s">
        <v>2736</v>
      </c>
      <c r="H199" s="466">
        <v>0</v>
      </c>
      <c r="I199" s="213" t="s">
        <v>2799</v>
      </c>
      <c r="J199" s="863" t="s">
        <v>106</v>
      </c>
      <c r="K199" s="445">
        <v>390</v>
      </c>
      <c r="L199" s="984">
        <v>1</v>
      </c>
      <c r="M199" s="413">
        <v>0</v>
      </c>
      <c r="N199" s="984">
        <v>0</v>
      </c>
      <c r="O199" s="2876"/>
      <c r="P199" s="466">
        <v>277198530</v>
      </c>
      <c r="Q199" s="466">
        <v>277198530</v>
      </c>
      <c r="R199" s="466">
        <v>277198530</v>
      </c>
      <c r="S199" s="466">
        <v>0</v>
      </c>
      <c r="T199" s="2253">
        <f t="shared" si="109"/>
        <v>1</v>
      </c>
      <c r="U199" s="2253">
        <f t="shared" si="109"/>
        <v>0</v>
      </c>
      <c r="V199" s="453">
        <v>45457</v>
      </c>
      <c r="W199" s="889">
        <v>45609</v>
      </c>
      <c r="X199" s="2260" t="s">
        <v>5378</v>
      </c>
      <c r="Y199" s="3147"/>
    </row>
    <row r="200" spans="1:25">
      <c r="A200" s="2823">
        <v>4148</v>
      </c>
      <c r="B200" s="2823"/>
      <c r="C200" s="2823" t="s">
        <v>109</v>
      </c>
      <c r="D200" s="3027" t="s">
        <v>2800</v>
      </c>
      <c r="E200" s="863" t="s">
        <v>2801</v>
      </c>
      <c r="F200" s="466"/>
      <c r="G200" s="213"/>
      <c r="H200" s="466">
        <f>H201</f>
        <v>0</v>
      </c>
      <c r="I200" s="213"/>
      <c r="J200" s="863"/>
      <c r="K200" s="445">
        <f t="shared" ref="K200:L200" si="124">K201</f>
        <v>758</v>
      </c>
      <c r="L200" s="984">
        <f t="shared" si="124"/>
        <v>1</v>
      </c>
      <c r="M200" s="413"/>
      <c r="N200" s="984">
        <f>N201</f>
        <v>0</v>
      </c>
      <c r="O200" s="3156">
        <f>IF(Q200&gt;0,N200,"na")</f>
        <v>0</v>
      </c>
      <c r="P200" s="466">
        <f t="shared" ref="P200:S200" si="125">P201</f>
        <v>415047615</v>
      </c>
      <c r="Q200" s="466">
        <f t="shared" si="125"/>
        <v>415047615</v>
      </c>
      <c r="R200" s="466">
        <f t="shared" si="125"/>
        <v>415047615</v>
      </c>
      <c r="S200" s="466">
        <f t="shared" si="125"/>
        <v>0</v>
      </c>
      <c r="T200" s="2253">
        <f t="shared" si="109"/>
        <v>1</v>
      </c>
      <c r="U200" s="2253">
        <f t="shared" si="109"/>
        <v>0</v>
      </c>
      <c r="V200" s="453"/>
      <c r="W200" s="889"/>
      <c r="X200" s="2260"/>
      <c r="Y200" s="2841" t="s">
        <v>2453</v>
      </c>
    </row>
    <row r="201" spans="1:25" ht="40.5">
      <c r="A201" s="2876"/>
      <c r="B201" s="2876"/>
      <c r="C201" s="2876"/>
      <c r="D201" s="2876"/>
      <c r="E201" s="863" t="s">
        <v>2802</v>
      </c>
      <c r="F201" s="466"/>
      <c r="G201" s="213" t="s">
        <v>2736</v>
      </c>
      <c r="H201" s="466">
        <v>0</v>
      </c>
      <c r="I201" s="213" t="s">
        <v>2803</v>
      </c>
      <c r="J201" s="863" t="s">
        <v>106</v>
      </c>
      <c r="K201" s="445">
        <v>758</v>
      </c>
      <c r="L201" s="984">
        <v>1</v>
      </c>
      <c r="M201" s="413">
        <v>0</v>
      </c>
      <c r="N201" s="984">
        <v>0</v>
      </c>
      <c r="O201" s="2876"/>
      <c r="P201" s="466">
        <v>415047615</v>
      </c>
      <c r="Q201" s="466">
        <v>415047615</v>
      </c>
      <c r="R201" s="466">
        <v>415047615</v>
      </c>
      <c r="S201" s="466">
        <v>0</v>
      </c>
      <c r="T201" s="2253">
        <f t="shared" ref="T201:U203" si="126">IF(Q201=0,0,R201/Q201)</f>
        <v>1</v>
      </c>
      <c r="U201" s="2253">
        <f t="shared" si="126"/>
        <v>0</v>
      </c>
      <c r="V201" s="453">
        <v>45470</v>
      </c>
      <c r="W201" s="889">
        <v>45624</v>
      </c>
      <c r="X201" s="213" t="s">
        <v>5379</v>
      </c>
      <c r="Y201" s="3147"/>
    </row>
    <row r="202" spans="1:25">
      <c r="A202" s="2823">
        <v>4148</v>
      </c>
      <c r="B202" s="2823"/>
      <c r="C202" s="2823" t="s">
        <v>109</v>
      </c>
      <c r="D202" s="3027" t="s">
        <v>2804</v>
      </c>
      <c r="E202" s="863" t="s">
        <v>2805</v>
      </c>
      <c r="F202" s="466"/>
      <c r="G202" s="213"/>
      <c r="H202" s="466">
        <f>H203</f>
        <v>0</v>
      </c>
      <c r="I202" s="213"/>
      <c r="J202" s="863"/>
      <c r="K202" s="445">
        <f t="shared" ref="K202:L202" si="127">K203</f>
        <v>420</v>
      </c>
      <c r="L202" s="984">
        <f t="shared" si="127"/>
        <v>1</v>
      </c>
      <c r="M202" s="413"/>
      <c r="N202" s="984">
        <f>N203</f>
        <v>0</v>
      </c>
      <c r="O202" s="3156">
        <f>IF(Q202&gt;0,N202,"na")</f>
        <v>0</v>
      </c>
      <c r="P202" s="466">
        <f t="shared" ref="P202:S202" si="128">P203</f>
        <v>223000000</v>
      </c>
      <c r="Q202" s="466">
        <f t="shared" si="128"/>
        <v>223000000</v>
      </c>
      <c r="R202" s="466">
        <f t="shared" si="128"/>
        <v>223000000</v>
      </c>
      <c r="S202" s="466">
        <f t="shared" si="128"/>
        <v>0</v>
      </c>
      <c r="T202" s="2253">
        <f t="shared" si="126"/>
        <v>1</v>
      </c>
      <c r="U202" s="2253">
        <f t="shared" si="126"/>
        <v>0</v>
      </c>
      <c r="V202" s="453"/>
      <c r="W202" s="889"/>
      <c r="X202" s="2260"/>
      <c r="Y202" s="2841" t="s">
        <v>2453</v>
      </c>
    </row>
    <row r="203" spans="1:25" ht="40.5">
      <c r="A203" s="2876"/>
      <c r="B203" s="2876"/>
      <c r="C203" s="2876"/>
      <c r="D203" s="2876"/>
      <c r="E203" s="863" t="s">
        <v>2806</v>
      </c>
      <c r="F203" s="466"/>
      <c r="G203" s="213" t="s">
        <v>2736</v>
      </c>
      <c r="H203" s="466">
        <v>0</v>
      </c>
      <c r="I203" s="213" t="s">
        <v>2807</v>
      </c>
      <c r="J203" s="863" t="s">
        <v>106</v>
      </c>
      <c r="K203" s="445">
        <v>420</v>
      </c>
      <c r="L203" s="984">
        <v>1</v>
      </c>
      <c r="M203" s="413">
        <v>0</v>
      </c>
      <c r="N203" s="984">
        <v>0</v>
      </c>
      <c r="O203" s="2876"/>
      <c r="P203" s="466">
        <v>223000000</v>
      </c>
      <c r="Q203" s="466">
        <v>223000000</v>
      </c>
      <c r="R203" s="466">
        <v>223000000</v>
      </c>
      <c r="S203" s="466">
        <v>0</v>
      </c>
      <c r="T203" s="2253">
        <f t="shared" si="126"/>
        <v>1</v>
      </c>
      <c r="U203" s="2253">
        <f t="shared" si="126"/>
        <v>0</v>
      </c>
      <c r="V203" s="453">
        <v>45454</v>
      </c>
      <c r="W203" s="889">
        <v>45602</v>
      </c>
      <c r="X203" s="2260" t="s">
        <v>5380</v>
      </c>
      <c r="Y203" s="3147"/>
    </row>
    <row r="204" spans="1:25" ht="51">
      <c r="A204" s="326"/>
      <c r="B204" s="240">
        <v>52050020002</v>
      </c>
      <c r="C204" s="240" t="s">
        <v>103</v>
      </c>
      <c r="D204" s="235" t="s">
        <v>2808</v>
      </c>
      <c r="E204" s="417"/>
      <c r="F204" s="466">
        <v>0</v>
      </c>
      <c r="G204" s="213"/>
      <c r="H204" s="466">
        <f>H205+H208+H210+H212+H215</f>
        <v>0</v>
      </c>
      <c r="I204" s="213"/>
      <c r="J204" s="863"/>
      <c r="K204" s="463">
        <f>K205+K208+K210+K212+K215</f>
        <v>80</v>
      </c>
      <c r="L204" s="984"/>
      <c r="M204" s="413"/>
      <c r="N204" s="984"/>
      <c r="O204" s="984"/>
      <c r="P204" s="466"/>
      <c r="Q204" s="466"/>
      <c r="R204" s="466"/>
      <c r="S204" s="466"/>
      <c r="T204" s="417"/>
      <c r="U204" s="417"/>
      <c r="V204" s="453"/>
      <c r="W204" s="889"/>
      <c r="X204" s="213"/>
      <c r="Y204" s="883"/>
    </row>
    <row r="205" spans="1:25">
      <c r="A205" s="2823">
        <v>4148</v>
      </c>
      <c r="B205" s="2823"/>
      <c r="C205" s="2823" t="s">
        <v>109</v>
      </c>
      <c r="D205" s="3027" t="s">
        <v>2809</v>
      </c>
      <c r="E205" s="863" t="s">
        <v>2810</v>
      </c>
      <c r="F205" s="466"/>
      <c r="G205" s="213"/>
      <c r="H205" s="466">
        <f>H207</f>
        <v>0</v>
      </c>
      <c r="I205" s="213"/>
      <c r="J205" s="863"/>
      <c r="K205" s="445">
        <f>K207</f>
        <v>13</v>
      </c>
      <c r="L205" s="984">
        <f>SUM(L206:L207)</f>
        <v>1</v>
      </c>
      <c r="M205" s="413"/>
      <c r="N205" s="984">
        <f>SUM(N206:N207)</f>
        <v>0.3</v>
      </c>
      <c r="O205" s="3156">
        <f>IF(Q205&gt;0,N205,"na")</f>
        <v>0.3</v>
      </c>
      <c r="P205" s="466">
        <f t="shared" ref="P205:S205" si="129">SUM(P206:P207)</f>
        <v>1763251962</v>
      </c>
      <c r="Q205" s="466">
        <f t="shared" si="129"/>
        <v>973135881</v>
      </c>
      <c r="R205" s="466">
        <f t="shared" si="129"/>
        <v>948106381</v>
      </c>
      <c r="S205" s="466">
        <f t="shared" si="129"/>
        <v>320648750</v>
      </c>
      <c r="T205" s="2253">
        <f t="shared" ref="T205:U216" si="130">IF(Q205=0,0,R205/Q205)</f>
        <v>0.97427954257089</v>
      </c>
      <c r="U205" s="2253">
        <f t="shared" si="130"/>
        <v>0.33819912662311258</v>
      </c>
      <c r="V205" s="453"/>
      <c r="W205" s="889"/>
      <c r="X205" s="2260"/>
      <c r="Y205" s="2841" t="s">
        <v>2453</v>
      </c>
    </row>
    <row r="206" spans="1:25" ht="40.5">
      <c r="A206" s="2875"/>
      <c r="B206" s="2875"/>
      <c r="C206" s="2875"/>
      <c r="D206" s="2875"/>
      <c r="E206" s="417" t="s">
        <v>2811</v>
      </c>
      <c r="F206" s="466"/>
      <c r="G206" s="213"/>
      <c r="H206" s="466"/>
      <c r="I206" s="213" t="s">
        <v>2812</v>
      </c>
      <c r="J206" s="213" t="s">
        <v>110</v>
      </c>
      <c r="K206" s="445">
        <v>1</v>
      </c>
      <c r="L206" s="984">
        <v>0.1</v>
      </c>
      <c r="M206" s="413">
        <v>0</v>
      </c>
      <c r="N206" s="984">
        <v>0</v>
      </c>
      <c r="O206" s="2875"/>
      <c r="P206" s="466">
        <v>10000000</v>
      </c>
      <c r="Q206" s="466">
        <v>10000000</v>
      </c>
      <c r="R206" s="466">
        <v>0</v>
      </c>
      <c r="S206" s="466">
        <v>0</v>
      </c>
      <c r="T206" s="2253">
        <f t="shared" si="130"/>
        <v>0</v>
      </c>
      <c r="U206" s="2253">
        <f t="shared" si="130"/>
        <v>0</v>
      </c>
      <c r="V206" s="453"/>
      <c r="W206" s="889"/>
      <c r="X206" s="213"/>
      <c r="Y206" s="3146"/>
    </row>
    <row r="207" spans="1:25" ht="175.5">
      <c r="A207" s="2876"/>
      <c r="B207" s="2876"/>
      <c r="C207" s="2876"/>
      <c r="D207" s="2876"/>
      <c r="E207" s="417" t="s">
        <v>2813</v>
      </c>
      <c r="F207" s="466"/>
      <c r="G207" s="213" t="s">
        <v>2808</v>
      </c>
      <c r="H207" s="466">
        <v>0</v>
      </c>
      <c r="I207" s="213" t="s">
        <v>2814</v>
      </c>
      <c r="J207" s="213" t="s">
        <v>2493</v>
      </c>
      <c r="K207" s="445">
        <v>13</v>
      </c>
      <c r="L207" s="984">
        <v>0.9</v>
      </c>
      <c r="M207" s="413">
        <v>0</v>
      </c>
      <c r="N207" s="984">
        <v>0.3</v>
      </c>
      <c r="O207" s="2876"/>
      <c r="P207" s="466">
        <v>1753251962</v>
      </c>
      <c r="Q207" s="466">
        <v>963135881</v>
      </c>
      <c r="R207" s="466">
        <v>948106381</v>
      </c>
      <c r="S207" s="466">
        <v>320648750</v>
      </c>
      <c r="T207" s="2253">
        <f t="shared" si="130"/>
        <v>0.9843952444338433</v>
      </c>
      <c r="U207" s="2253">
        <f t="shared" si="130"/>
        <v>0.33819912662311258</v>
      </c>
      <c r="V207" s="453">
        <v>45322</v>
      </c>
      <c r="W207" s="889">
        <v>45473</v>
      </c>
      <c r="X207" s="2260" t="s">
        <v>5381</v>
      </c>
      <c r="Y207" s="3147"/>
    </row>
    <row r="208" spans="1:25">
      <c r="A208" s="2823">
        <v>4148</v>
      </c>
      <c r="B208" s="2823"/>
      <c r="C208" s="2823" t="s">
        <v>109</v>
      </c>
      <c r="D208" s="3027" t="s">
        <v>2815</v>
      </c>
      <c r="E208" s="863" t="s">
        <v>2816</v>
      </c>
      <c r="F208" s="466"/>
      <c r="G208" s="213"/>
      <c r="H208" s="466">
        <f>H209</f>
        <v>0</v>
      </c>
      <c r="I208" s="213"/>
      <c r="J208" s="213"/>
      <c r="K208" s="445">
        <f t="shared" ref="K208:L208" si="131">K209</f>
        <v>7</v>
      </c>
      <c r="L208" s="984">
        <f t="shared" si="131"/>
        <v>1</v>
      </c>
      <c r="M208" s="413"/>
      <c r="N208" s="984">
        <f>N209</f>
        <v>0</v>
      </c>
      <c r="O208" s="3156">
        <f>IF(Q208&gt;0,N208,"na")</f>
        <v>0</v>
      </c>
      <c r="P208" s="466">
        <f t="shared" ref="P208:S208" si="132">P209</f>
        <v>1156189581</v>
      </c>
      <c r="Q208" s="466">
        <f t="shared" si="132"/>
        <v>1156189581</v>
      </c>
      <c r="R208" s="466">
        <f t="shared" si="132"/>
        <v>1156189581</v>
      </c>
      <c r="S208" s="466">
        <f t="shared" si="132"/>
        <v>0</v>
      </c>
      <c r="T208" s="2253">
        <f t="shared" si="130"/>
        <v>1</v>
      </c>
      <c r="U208" s="2253">
        <f t="shared" si="130"/>
        <v>0</v>
      </c>
      <c r="V208" s="453"/>
      <c r="W208" s="889"/>
      <c r="X208" s="2260"/>
      <c r="Y208" s="2841" t="s">
        <v>2453</v>
      </c>
    </row>
    <row r="209" spans="1:25" ht="67.5">
      <c r="A209" s="2876"/>
      <c r="B209" s="2876"/>
      <c r="C209" s="2876"/>
      <c r="D209" s="2876"/>
      <c r="E209" s="863" t="s">
        <v>2817</v>
      </c>
      <c r="F209" s="466"/>
      <c r="G209" s="213" t="s">
        <v>2808</v>
      </c>
      <c r="H209" s="466">
        <v>0</v>
      </c>
      <c r="I209" s="213" t="s">
        <v>2818</v>
      </c>
      <c r="J209" s="863" t="s">
        <v>2513</v>
      </c>
      <c r="K209" s="445">
        <v>7</v>
      </c>
      <c r="L209" s="984">
        <v>1</v>
      </c>
      <c r="M209" s="413">
        <v>0</v>
      </c>
      <c r="N209" s="984">
        <v>0</v>
      </c>
      <c r="O209" s="2876"/>
      <c r="P209" s="466">
        <v>1156189581</v>
      </c>
      <c r="Q209" s="466">
        <v>1156189581</v>
      </c>
      <c r="R209" s="466">
        <v>1156189581</v>
      </c>
      <c r="S209" s="466">
        <v>0</v>
      </c>
      <c r="T209" s="2253">
        <f t="shared" si="130"/>
        <v>1</v>
      </c>
      <c r="U209" s="2253">
        <f t="shared" si="130"/>
        <v>0</v>
      </c>
      <c r="V209" s="453">
        <v>45463</v>
      </c>
      <c r="W209" s="889">
        <v>45565</v>
      </c>
      <c r="X209" s="2260" t="s">
        <v>5376</v>
      </c>
      <c r="Y209" s="3147"/>
    </row>
    <row r="210" spans="1:25">
      <c r="A210" s="2823">
        <v>4148</v>
      </c>
      <c r="B210" s="2823"/>
      <c r="C210" s="2823" t="s">
        <v>109</v>
      </c>
      <c r="D210" s="3027" t="s">
        <v>2819</v>
      </c>
      <c r="E210" s="863" t="s">
        <v>2820</v>
      </c>
      <c r="F210" s="466"/>
      <c r="G210" s="213"/>
      <c r="H210" s="466">
        <f>H211</f>
        <v>0</v>
      </c>
      <c r="I210" s="213"/>
      <c r="J210" s="863"/>
      <c r="K210" s="445">
        <f t="shared" ref="K210:L210" si="133">K211</f>
        <v>12</v>
      </c>
      <c r="L210" s="984">
        <f t="shared" si="133"/>
        <v>1</v>
      </c>
      <c r="M210" s="413"/>
      <c r="N210" s="984">
        <f>N211</f>
        <v>0</v>
      </c>
      <c r="O210" s="3156">
        <f>IF(Q210&gt;0,N210,"na")</f>
        <v>0</v>
      </c>
      <c r="P210" s="466">
        <f t="shared" ref="P210:S210" si="134">P211</f>
        <v>154779388</v>
      </c>
      <c r="Q210" s="466">
        <f t="shared" si="134"/>
        <v>154779388</v>
      </c>
      <c r="R210" s="466">
        <f t="shared" si="134"/>
        <v>154779388</v>
      </c>
      <c r="S210" s="466">
        <f t="shared" si="134"/>
        <v>0</v>
      </c>
      <c r="T210" s="2253">
        <f t="shared" si="130"/>
        <v>1</v>
      </c>
      <c r="U210" s="2253">
        <f t="shared" si="130"/>
        <v>0</v>
      </c>
      <c r="V210" s="453"/>
      <c r="W210" s="889"/>
      <c r="X210" s="2260"/>
      <c r="Y210" s="2841" t="s">
        <v>2453</v>
      </c>
    </row>
    <row r="211" spans="1:25" ht="54">
      <c r="A211" s="2876"/>
      <c r="B211" s="2876"/>
      <c r="C211" s="2876"/>
      <c r="D211" s="2876"/>
      <c r="E211" s="863" t="s">
        <v>2821</v>
      </c>
      <c r="F211" s="466"/>
      <c r="G211" s="213" t="s">
        <v>2808</v>
      </c>
      <c r="H211" s="466">
        <v>0</v>
      </c>
      <c r="I211" s="213" t="s">
        <v>2822</v>
      </c>
      <c r="J211" s="213" t="s">
        <v>2559</v>
      </c>
      <c r="K211" s="445">
        <v>12</v>
      </c>
      <c r="L211" s="984">
        <v>1</v>
      </c>
      <c r="M211" s="413">
        <v>0</v>
      </c>
      <c r="N211" s="984">
        <v>0</v>
      </c>
      <c r="O211" s="2876"/>
      <c r="P211" s="466">
        <v>154779388</v>
      </c>
      <c r="Q211" s="466">
        <v>154779388</v>
      </c>
      <c r="R211" s="466">
        <v>154779388</v>
      </c>
      <c r="S211" s="466">
        <v>0</v>
      </c>
      <c r="T211" s="2253">
        <f t="shared" si="130"/>
        <v>1</v>
      </c>
      <c r="U211" s="2253">
        <f t="shared" si="130"/>
        <v>0</v>
      </c>
      <c r="V211" s="453">
        <v>45470</v>
      </c>
      <c r="W211" s="889">
        <v>45624</v>
      </c>
      <c r="X211" s="213" t="s">
        <v>5382</v>
      </c>
      <c r="Y211" s="3147"/>
    </row>
    <row r="212" spans="1:25">
      <c r="A212" s="2823">
        <v>4148</v>
      </c>
      <c r="B212" s="2823"/>
      <c r="C212" s="2823" t="s">
        <v>109</v>
      </c>
      <c r="D212" s="3027" t="s">
        <v>2823</v>
      </c>
      <c r="E212" s="863" t="s">
        <v>2824</v>
      </c>
      <c r="F212" s="466"/>
      <c r="G212" s="213"/>
      <c r="H212" s="466">
        <f>H214</f>
        <v>0</v>
      </c>
      <c r="I212" s="213"/>
      <c r="J212" s="863"/>
      <c r="K212" s="445">
        <f>K214</f>
        <v>41</v>
      </c>
      <c r="L212" s="984">
        <f>SUM(L213:L214)</f>
        <v>1</v>
      </c>
      <c r="M212" s="413"/>
      <c r="N212" s="984">
        <f>SUM(N213:N214)</f>
        <v>0.31</v>
      </c>
      <c r="O212" s="3156">
        <f>IF(Q212&gt;0,N212,"na")</f>
        <v>0.31</v>
      </c>
      <c r="P212" s="466">
        <f t="shared" ref="P212:S212" si="135">SUM(P213:P214)</f>
        <v>7014210092</v>
      </c>
      <c r="Q212" s="466">
        <f t="shared" si="135"/>
        <v>7804326173</v>
      </c>
      <c r="R212" s="466">
        <f t="shared" si="135"/>
        <v>6935741581</v>
      </c>
      <c r="S212" s="466">
        <f t="shared" si="135"/>
        <v>2278911875</v>
      </c>
      <c r="T212" s="2253">
        <f t="shared" si="130"/>
        <v>0.88870472956333213</v>
      </c>
      <c r="U212" s="2253">
        <f t="shared" si="130"/>
        <v>0.3285750843490084</v>
      </c>
      <c r="V212" s="453"/>
      <c r="W212" s="889"/>
      <c r="X212" s="2260"/>
      <c r="Y212" s="2841" t="s">
        <v>2453</v>
      </c>
    </row>
    <row r="213" spans="1:25" ht="108">
      <c r="A213" s="2875"/>
      <c r="B213" s="2875"/>
      <c r="C213" s="2875"/>
      <c r="D213" s="2875"/>
      <c r="E213" s="417" t="s">
        <v>2825</v>
      </c>
      <c r="F213" s="466"/>
      <c r="G213" s="213"/>
      <c r="H213" s="466"/>
      <c r="I213" s="213" t="s">
        <v>2826</v>
      </c>
      <c r="J213" s="213" t="s">
        <v>107</v>
      </c>
      <c r="K213" s="445">
        <v>1</v>
      </c>
      <c r="L213" s="984">
        <v>0.2</v>
      </c>
      <c r="M213" s="2280">
        <v>1</v>
      </c>
      <c r="N213" s="984">
        <v>0.1</v>
      </c>
      <c r="O213" s="2875"/>
      <c r="P213" s="466">
        <v>626656200</v>
      </c>
      <c r="Q213" s="466">
        <v>626656200</v>
      </c>
      <c r="R213" s="466">
        <v>588675500</v>
      </c>
      <c r="S213" s="466">
        <v>297629500</v>
      </c>
      <c r="T213" s="2253">
        <f t="shared" si="130"/>
        <v>0.93939148770889047</v>
      </c>
      <c r="U213" s="2253">
        <f t="shared" si="130"/>
        <v>0.50559179038366642</v>
      </c>
      <c r="V213" s="453">
        <v>45322</v>
      </c>
      <c r="W213" s="453">
        <v>45473</v>
      </c>
      <c r="X213" s="1035" t="s">
        <v>5383</v>
      </c>
      <c r="Y213" s="3146"/>
    </row>
    <row r="214" spans="1:25" ht="243">
      <c r="A214" s="2876"/>
      <c r="B214" s="2876"/>
      <c r="C214" s="2876"/>
      <c r="D214" s="2876"/>
      <c r="E214" s="417" t="s">
        <v>2827</v>
      </c>
      <c r="F214" s="466"/>
      <c r="G214" s="1035" t="s">
        <v>2808</v>
      </c>
      <c r="H214" s="466">
        <v>0</v>
      </c>
      <c r="I214" s="213" t="s">
        <v>5384</v>
      </c>
      <c r="J214" s="213" t="s">
        <v>2468</v>
      </c>
      <c r="K214" s="445">
        <v>41</v>
      </c>
      <c r="L214" s="984">
        <v>0.8</v>
      </c>
      <c r="M214" s="413">
        <v>0</v>
      </c>
      <c r="N214" s="984">
        <v>0.21</v>
      </c>
      <c r="O214" s="2876"/>
      <c r="P214" s="466">
        <v>6387553892</v>
      </c>
      <c r="Q214" s="466">
        <v>7177669973</v>
      </c>
      <c r="R214" s="466">
        <v>6347066081</v>
      </c>
      <c r="S214" s="466">
        <v>1981282375</v>
      </c>
      <c r="T214" s="2253">
        <f t="shared" si="130"/>
        <v>0.88427945348219483</v>
      </c>
      <c r="U214" s="2253">
        <f t="shared" si="130"/>
        <v>0.31215719983300422</v>
      </c>
      <c r="V214" s="453">
        <v>45417</v>
      </c>
      <c r="W214" s="889">
        <v>45565</v>
      </c>
      <c r="X214" s="1035" t="s">
        <v>5385</v>
      </c>
      <c r="Y214" s="3147"/>
    </row>
    <row r="215" spans="1:25">
      <c r="A215" s="2823">
        <v>4148</v>
      </c>
      <c r="B215" s="2823"/>
      <c r="C215" s="2823" t="s">
        <v>109</v>
      </c>
      <c r="D215" s="3027" t="s">
        <v>2828</v>
      </c>
      <c r="E215" s="863" t="s">
        <v>2829</v>
      </c>
      <c r="F215" s="466"/>
      <c r="G215" s="213"/>
      <c r="H215" s="466">
        <f>H216</f>
        <v>0</v>
      </c>
      <c r="I215" s="213"/>
      <c r="J215" s="863"/>
      <c r="K215" s="445">
        <f t="shared" ref="K215:L215" si="136">K216</f>
        <v>7</v>
      </c>
      <c r="L215" s="984">
        <f t="shared" si="136"/>
        <v>1</v>
      </c>
      <c r="M215" s="413"/>
      <c r="N215" s="984">
        <f>N216</f>
        <v>0</v>
      </c>
      <c r="O215" s="3156">
        <f>IF(Q215&gt;0,N215,"na")</f>
        <v>0</v>
      </c>
      <c r="P215" s="466">
        <f t="shared" ref="P215:S215" si="137">P216</f>
        <v>411425634</v>
      </c>
      <c r="Q215" s="466">
        <f t="shared" si="137"/>
        <v>411425634</v>
      </c>
      <c r="R215" s="466">
        <f t="shared" si="137"/>
        <v>411425634</v>
      </c>
      <c r="S215" s="466">
        <f t="shared" si="137"/>
        <v>0</v>
      </c>
      <c r="T215" s="2253">
        <f t="shared" si="130"/>
        <v>1</v>
      </c>
      <c r="U215" s="2253">
        <f t="shared" si="130"/>
        <v>0</v>
      </c>
      <c r="V215" s="453"/>
      <c r="W215" s="889"/>
      <c r="X215" s="2260"/>
      <c r="Y215" s="2841" t="s">
        <v>2453</v>
      </c>
    </row>
    <row r="216" spans="1:25" ht="54">
      <c r="A216" s="2876"/>
      <c r="B216" s="2876"/>
      <c r="C216" s="2876"/>
      <c r="D216" s="2876"/>
      <c r="E216" s="863" t="s">
        <v>2830</v>
      </c>
      <c r="F216" s="466"/>
      <c r="G216" s="213" t="s">
        <v>2808</v>
      </c>
      <c r="H216" s="466">
        <v>0</v>
      </c>
      <c r="I216" s="213" t="s">
        <v>2831</v>
      </c>
      <c r="J216" s="213" t="s">
        <v>2559</v>
      </c>
      <c r="K216" s="445">
        <v>7</v>
      </c>
      <c r="L216" s="984">
        <v>1</v>
      </c>
      <c r="M216" s="413">
        <v>0</v>
      </c>
      <c r="N216" s="984">
        <v>0</v>
      </c>
      <c r="O216" s="2876"/>
      <c r="P216" s="466">
        <v>411425634</v>
      </c>
      <c r="Q216" s="466">
        <v>411425634</v>
      </c>
      <c r="R216" s="466">
        <v>411425634</v>
      </c>
      <c r="S216" s="466">
        <v>0</v>
      </c>
      <c r="T216" s="2253">
        <f t="shared" si="130"/>
        <v>1</v>
      </c>
      <c r="U216" s="2253">
        <f t="shared" si="130"/>
        <v>0</v>
      </c>
      <c r="V216" s="453">
        <v>45468</v>
      </c>
      <c r="W216" s="889">
        <v>45609</v>
      </c>
      <c r="X216" s="2260" t="s">
        <v>5377</v>
      </c>
      <c r="Y216" s="3147"/>
    </row>
    <row r="217" spans="1:25" ht="51">
      <c r="A217" s="326"/>
      <c r="B217" s="240">
        <v>52050020003</v>
      </c>
      <c r="C217" s="240" t="s">
        <v>103</v>
      </c>
      <c r="D217" s="235" t="s">
        <v>2832</v>
      </c>
      <c r="E217" s="417"/>
      <c r="F217" s="466">
        <v>0</v>
      </c>
      <c r="G217" s="213"/>
      <c r="H217" s="466">
        <f>H218+H221+H224</f>
        <v>0</v>
      </c>
      <c r="I217" s="213"/>
      <c r="J217" s="863"/>
      <c r="K217" s="445">
        <f>K218+K221+K224</f>
        <v>3</v>
      </c>
      <c r="L217" s="984"/>
      <c r="M217" s="413"/>
      <c r="N217" s="984"/>
      <c r="O217" s="984"/>
      <c r="P217" s="466"/>
      <c r="Q217" s="466"/>
      <c r="R217" s="466"/>
      <c r="S217" s="466"/>
      <c r="T217" s="2253"/>
      <c r="U217" s="2253"/>
      <c r="V217" s="453"/>
      <c r="W217" s="889"/>
      <c r="X217" s="213"/>
      <c r="Y217" s="883"/>
    </row>
    <row r="218" spans="1:25">
      <c r="A218" s="2823">
        <v>4148</v>
      </c>
      <c r="B218" s="2823"/>
      <c r="C218" s="2823" t="s">
        <v>109</v>
      </c>
      <c r="D218" s="3027" t="s">
        <v>2833</v>
      </c>
      <c r="E218" s="863" t="s">
        <v>2834</v>
      </c>
      <c r="F218" s="466"/>
      <c r="G218" s="213"/>
      <c r="H218" s="466">
        <f>H220</f>
        <v>0</v>
      </c>
      <c r="I218" s="213"/>
      <c r="J218" s="863"/>
      <c r="K218" s="445">
        <v>1</v>
      </c>
      <c r="L218" s="984">
        <f>SUM(L219:L220)</f>
        <v>1</v>
      </c>
      <c r="M218" s="413"/>
      <c r="N218" s="984">
        <f>SUM(N219:N220)</f>
        <v>0.55000000000000004</v>
      </c>
      <c r="O218" s="3156">
        <f>IF(Q218&gt;0,N218,"na")</f>
        <v>0.55000000000000004</v>
      </c>
      <c r="P218" s="466">
        <f t="shared" ref="P218:S218" si="138">SUM(P219:P220)</f>
        <v>52268190</v>
      </c>
      <c r="Q218" s="466">
        <f t="shared" si="138"/>
        <v>52268190</v>
      </c>
      <c r="R218" s="466">
        <f t="shared" si="138"/>
        <v>9840000</v>
      </c>
      <c r="S218" s="466">
        <f t="shared" si="138"/>
        <v>9840000</v>
      </c>
      <c r="T218" s="2253">
        <f t="shared" ref="T218:U226" si="139">IF(Q218=0,0,R218/Q218)</f>
        <v>0.18825981921317728</v>
      </c>
      <c r="U218" s="2253">
        <f t="shared" si="139"/>
        <v>1</v>
      </c>
      <c r="V218" s="453"/>
      <c r="W218" s="889"/>
      <c r="X218" s="2260"/>
      <c r="Y218" s="2841" t="s">
        <v>2453</v>
      </c>
    </row>
    <row r="219" spans="1:25" ht="216">
      <c r="A219" s="2875"/>
      <c r="B219" s="2875"/>
      <c r="C219" s="2875"/>
      <c r="D219" s="2875"/>
      <c r="E219" s="417" t="s">
        <v>2835</v>
      </c>
      <c r="F219" s="466"/>
      <c r="G219" s="213"/>
      <c r="H219" s="466"/>
      <c r="I219" s="213" t="s">
        <v>2836</v>
      </c>
      <c r="J219" s="213" t="s">
        <v>118</v>
      </c>
      <c r="K219" s="445">
        <v>1</v>
      </c>
      <c r="L219" s="984">
        <v>0.55000000000000004</v>
      </c>
      <c r="M219" s="2280">
        <v>1</v>
      </c>
      <c r="N219" s="984">
        <v>0.55000000000000004</v>
      </c>
      <c r="O219" s="2875"/>
      <c r="P219" s="466">
        <v>9900000</v>
      </c>
      <c r="Q219" s="466">
        <v>9900000</v>
      </c>
      <c r="R219" s="466">
        <v>9840000</v>
      </c>
      <c r="S219" s="466">
        <v>9840000</v>
      </c>
      <c r="T219" s="2253">
        <f t="shared" si="139"/>
        <v>0.9939393939393939</v>
      </c>
      <c r="U219" s="2253">
        <f t="shared" si="139"/>
        <v>1</v>
      </c>
      <c r="V219" s="453">
        <v>45351</v>
      </c>
      <c r="W219" s="889">
        <v>45412</v>
      </c>
      <c r="X219" s="446" t="s">
        <v>5386</v>
      </c>
      <c r="Y219" s="3146"/>
    </row>
    <row r="220" spans="1:25" ht="67.5">
      <c r="A220" s="2876"/>
      <c r="B220" s="2876"/>
      <c r="C220" s="2876"/>
      <c r="D220" s="2876"/>
      <c r="E220" s="417" t="s">
        <v>2837</v>
      </c>
      <c r="F220" s="466"/>
      <c r="G220" s="213" t="s">
        <v>2832</v>
      </c>
      <c r="H220" s="466">
        <v>0</v>
      </c>
      <c r="I220" s="213" t="s">
        <v>2838</v>
      </c>
      <c r="J220" s="213" t="s">
        <v>2839</v>
      </c>
      <c r="K220" s="445">
        <v>1</v>
      </c>
      <c r="L220" s="984">
        <v>0.45</v>
      </c>
      <c r="M220" s="413">
        <v>0</v>
      </c>
      <c r="N220" s="984">
        <v>0</v>
      </c>
      <c r="O220" s="2876"/>
      <c r="P220" s="466">
        <v>42368190</v>
      </c>
      <c r="Q220" s="466">
        <v>42368190</v>
      </c>
      <c r="R220" s="466">
        <v>0</v>
      </c>
      <c r="S220" s="466">
        <v>0</v>
      </c>
      <c r="T220" s="2253">
        <f t="shared" si="139"/>
        <v>0</v>
      </c>
      <c r="U220" s="2253">
        <f t="shared" si="139"/>
        <v>0</v>
      </c>
      <c r="V220" s="453"/>
      <c r="W220" s="889"/>
      <c r="X220" s="213"/>
      <c r="Y220" s="3147"/>
    </row>
    <row r="221" spans="1:25">
      <c r="A221" s="2823">
        <v>4148</v>
      </c>
      <c r="B221" s="2823"/>
      <c r="C221" s="2823" t="s">
        <v>109</v>
      </c>
      <c r="D221" s="3027" t="s">
        <v>2840</v>
      </c>
      <c r="E221" s="863" t="s">
        <v>2841</v>
      </c>
      <c r="F221" s="466"/>
      <c r="G221" s="213"/>
      <c r="H221" s="466">
        <f>H223</f>
        <v>0</v>
      </c>
      <c r="I221" s="213"/>
      <c r="J221" s="863"/>
      <c r="K221" s="445">
        <v>1</v>
      </c>
      <c r="L221" s="984">
        <f>SUM(L222:L223)</f>
        <v>1</v>
      </c>
      <c r="M221" s="413"/>
      <c r="N221" s="984">
        <f>SUM(N222:N223)</f>
        <v>3.4000000000000002E-2</v>
      </c>
      <c r="O221" s="3156">
        <f>IF(Q221&gt;0,N221,"na")</f>
        <v>3.4000000000000002E-2</v>
      </c>
      <c r="P221" s="466">
        <f t="shared" ref="P221:S221" si="140">SUM(P222:P223)</f>
        <v>24591600</v>
      </c>
      <c r="Q221" s="466">
        <f t="shared" si="140"/>
        <v>24591600</v>
      </c>
      <c r="R221" s="466">
        <f t="shared" si="140"/>
        <v>14756500</v>
      </c>
      <c r="S221" s="466">
        <f t="shared" si="140"/>
        <v>4024500</v>
      </c>
      <c r="T221" s="2253">
        <f t="shared" si="139"/>
        <v>0.60006262300948288</v>
      </c>
      <c r="U221" s="2253">
        <f t="shared" si="139"/>
        <v>0.27272727272727271</v>
      </c>
      <c r="V221" s="453"/>
      <c r="W221" s="889"/>
      <c r="X221" s="2260"/>
      <c r="Y221" s="2841" t="s">
        <v>2474</v>
      </c>
    </row>
    <row r="222" spans="1:25" ht="67.5">
      <c r="A222" s="2875"/>
      <c r="B222" s="2875"/>
      <c r="C222" s="2875"/>
      <c r="D222" s="2875"/>
      <c r="E222" s="417" t="s">
        <v>2842</v>
      </c>
      <c r="F222" s="466"/>
      <c r="G222" s="213"/>
      <c r="H222" s="466"/>
      <c r="I222" s="213" t="s">
        <v>2843</v>
      </c>
      <c r="J222" s="213" t="s">
        <v>2459</v>
      </c>
      <c r="K222" s="445">
        <v>1</v>
      </c>
      <c r="L222" s="984">
        <v>0.34</v>
      </c>
      <c r="M222" s="413">
        <v>0</v>
      </c>
      <c r="N222" s="984">
        <v>3.4000000000000002E-2</v>
      </c>
      <c r="O222" s="2875"/>
      <c r="P222" s="466">
        <v>22356000</v>
      </c>
      <c r="Q222" s="466">
        <v>22356000</v>
      </c>
      <c r="R222" s="466">
        <v>14756500</v>
      </c>
      <c r="S222" s="466">
        <v>4024500</v>
      </c>
      <c r="T222" s="2253">
        <f t="shared" si="139"/>
        <v>0.66006888531043117</v>
      </c>
      <c r="U222" s="2253">
        <f t="shared" si="139"/>
        <v>0.27272727272727271</v>
      </c>
      <c r="V222" s="453">
        <v>45443</v>
      </c>
      <c r="W222" s="889">
        <v>45596</v>
      </c>
      <c r="X222" s="213" t="s">
        <v>5387</v>
      </c>
      <c r="Y222" s="3146"/>
    </row>
    <row r="223" spans="1:25" ht="81">
      <c r="A223" s="2876"/>
      <c r="B223" s="2876"/>
      <c r="C223" s="2876"/>
      <c r="D223" s="2876"/>
      <c r="E223" s="417" t="s">
        <v>2844</v>
      </c>
      <c r="F223" s="466"/>
      <c r="G223" s="213" t="s">
        <v>2832</v>
      </c>
      <c r="H223" s="466">
        <v>0</v>
      </c>
      <c r="I223" s="213" t="s">
        <v>2845</v>
      </c>
      <c r="J223" s="213" t="s">
        <v>2547</v>
      </c>
      <c r="K223" s="445">
        <v>1</v>
      </c>
      <c r="L223" s="984">
        <v>0.66</v>
      </c>
      <c r="M223" s="413">
        <v>0</v>
      </c>
      <c r="N223" s="984">
        <v>0</v>
      </c>
      <c r="O223" s="2876"/>
      <c r="P223" s="466">
        <v>2235600</v>
      </c>
      <c r="Q223" s="466">
        <v>2235600</v>
      </c>
      <c r="R223" s="466">
        <v>0</v>
      </c>
      <c r="S223" s="466">
        <v>0</v>
      </c>
      <c r="T223" s="2253">
        <f t="shared" si="139"/>
        <v>0</v>
      </c>
      <c r="U223" s="2253">
        <f t="shared" si="139"/>
        <v>0</v>
      </c>
      <c r="V223" s="453"/>
      <c r="W223" s="889"/>
      <c r="X223" s="213"/>
      <c r="Y223" s="3147"/>
    </row>
    <row r="224" spans="1:25">
      <c r="A224" s="2823">
        <v>4148</v>
      </c>
      <c r="B224" s="2823"/>
      <c r="C224" s="2823" t="s">
        <v>109</v>
      </c>
      <c r="D224" s="3027" t="s">
        <v>2846</v>
      </c>
      <c r="E224" s="863" t="s">
        <v>2847</v>
      </c>
      <c r="F224" s="466"/>
      <c r="G224" s="213"/>
      <c r="H224" s="466">
        <f>H225</f>
        <v>0</v>
      </c>
      <c r="I224" s="213"/>
      <c r="J224" s="863"/>
      <c r="K224" s="445">
        <v>1</v>
      </c>
      <c r="L224" s="984">
        <f>SUM(L225:L226)</f>
        <v>1</v>
      </c>
      <c r="M224" s="413"/>
      <c r="N224" s="984">
        <f>SUM(N225:N226)</f>
        <v>0</v>
      </c>
      <c r="O224" s="3156">
        <f>IF(Q224&gt;0,N224,"na")</f>
        <v>0</v>
      </c>
      <c r="P224" s="466">
        <f t="shared" ref="P224:S224" si="141">SUM(P225:P226)</f>
        <v>31601310</v>
      </c>
      <c r="Q224" s="466">
        <f t="shared" si="141"/>
        <v>31601310</v>
      </c>
      <c r="R224" s="466">
        <f t="shared" si="141"/>
        <v>0</v>
      </c>
      <c r="S224" s="466">
        <f t="shared" si="141"/>
        <v>0</v>
      </c>
      <c r="T224" s="2253">
        <f t="shared" si="139"/>
        <v>0</v>
      </c>
      <c r="U224" s="2253">
        <f t="shared" si="139"/>
        <v>0</v>
      </c>
      <c r="V224" s="453"/>
      <c r="W224" s="889"/>
      <c r="X224" s="2260"/>
      <c r="Y224" s="2841" t="s">
        <v>2474</v>
      </c>
    </row>
    <row r="225" spans="1:25" ht="67.5">
      <c r="A225" s="2875"/>
      <c r="B225" s="2875"/>
      <c r="C225" s="2875"/>
      <c r="D225" s="2875"/>
      <c r="E225" s="417" t="s">
        <v>2848</v>
      </c>
      <c r="F225" s="466"/>
      <c r="G225" s="2846" t="s">
        <v>2832</v>
      </c>
      <c r="H225" s="3159">
        <v>0</v>
      </c>
      <c r="I225" s="213" t="s">
        <v>2849</v>
      </c>
      <c r="J225" s="863" t="s">
        <v>2850</v>
      </c>
      <c r="K225" s="445">
        <v>1</v>
      </c>
      <c r="L225" s="984">
        <v>0.59</v>
      </c>
      <c r="M225" s="413">
        <v>0</v>
      </c>
      <c r="N225" s="984">
        <v>0</v>
      </c>
      <c r="O225" s="2875"/>
      <c r="P225" s="466">
        <v>21205800</v>
      </c>
      <c r="Q225" s="466">
        <v>21205800</v>
      </c>
      <c r="R225" s="466">
        <v>0</v>
      </c>
      <c r="S225" s="466">
        <v>0</v>
      </c>
      <c r="T225" s="2253">
        <f t="shared" si="139"/>
        <v>0</v>
      </c>
      <c r="U225" s="2253">
        <f t="shared" si="139"/>
        <v>0</v>
      </c>
      <c r="V225" s="453"/>
      <c r="W225" s="889"/>
      <c r="X225" s="213"/>
      <c r="Y225" s="3146"/>
    </row>
    <row r="226" spans="1:25" ht="54">
      <c r="A226" s="2876"/>
      <c r="B226" s="2876"/>
      <c r="C226" s="2876"/>
      <c r="D226" s="2876"/>
      <c r="E226" s="417" t="s">
        <v>2851</v>
      </c>
      <c r="F226" s="466"/>
      <c r="G226" s="2876"/>
      <c r="H226" s="2876"/>
      <c r="I226" s="213" t="s">
        <v>5388</v>
      </c>
      <c r="J226" s="213" t="s">
        <v>2459</v>
      </c>
      <c r="K226" s="445">
        <v>4</v>
      </c>
      <c r="L226" s="984">
        <v>0.41</v>
      </c>
      <c r="M226" s="413">
        <v>0</v>
      </c>
      <c r="N226" s="984">
        <v>0</v>
      </c>
      <c r="O226" s="2876"/>
      <c r="P226" s="466">
        <v>10395510</v>
      </c>
      <c r="Q226" s="466">
        <v>10395510</v>
      </c>
      <c r="R226" s="466">
        <v>0</v>
      </c>
      <c r="S226" s="466">
        <v>0</v>
      </c>
      <c r="T226" s="2253">
        <f t="shared" si="139"/>
        <v>0</v>
      </c>
      <c r="U226" s="2253">
        <f t="shared" si="139"/>
        <v>0</v>
      </c>
      <c r="V226" s="453"/>
      <c r="W226" s="889"/>
      <c r="X226" s="213"/>
      <c r="Y226" s="3147"/>
    </row>
    <row r="227" spans="1:25" ht="25.5">
      <c r="A227" s="326"/>
      <c r="B227" s="240">
        <v>52050020004</v>
      </c>
      <c r="C227" s="240" t="s">
        <v>103</v>
      </c>
      <c r="D227" s="235" t="s">
        <v>2852</v>
      </c>
      <c r="E227" s="417"/>
      <c r="F227" s="466">
        <v>0</v>
      </c>
      <c r="G227" s="213"/>
      <c r="H227" s="466">
        <f>H228</f>
        <v>28</v>
      </c>
      <c r="I227" s="213"/>
      <c r="J227" s="863"/>
      <c r="K227" s="445">
        <f>K228</f>
        <v>157</v>
      </c>
      <c r="L227" s="984"/>
      <c r="M227" s="413"/>
      <c r="N227" s="984"/>
      <c r="O227" s="984"/>
      <c r="P227" s="466"/>
      <c r="Q227" s="466"/>
      <c r="R227" s="466"/>
      <c r="S227" s="466"/>
      <c r="T227" s="417"/>
      <c r="U227" s="417"/>
      <c r="V227" s="453"/>
      <c r="W227" s="889"/>
      <c r="X227" s="213"/>
      <c r="Y227" s="883"/>
    </row>
    <row r="228" spans="1:25">
      <c r="A228" s="2823">
        <v>4148</v>
      </c>
      <c r="B228" s="2823"/>
      <c r="C228" s="2823" t="s">
        <v>109</v>
      </c>
      <c r="D228" s="3027" t="s">
        <v>2853</v>
      </c>
      <c r="E228" s="863" t="s">
        <v>2854</v>
      </c>
      <c r="F228" s="466"/>
      <c r="G228" s="213"/>
      <c r="H228" s="466">
        <f>H230</f>
        <v>28</v>
      </c>
      <c r="I228" s="213"/>
      <c r="J228" s="863"/>
      <c r="K228" s="445">
        <f>K230</f>
        <v>157</v>
      </c>
      <c r="L228" s="984">
        <f>SUM(L229:L230)</f>
        <v>1</v>
      </c>
      <c r="M228" s="413"/>
      <c r="N228" s="984">
        <f>SUM(N229:N230)</f>
        <v>0.33</v>
      </c>
      <c r="O228" s="3156">
        <f>IF(Q228&gt;0,N228,"na")</f>
        <v>0.33</v>
      </c>
      <c r="P228" s="466">
        <f t="shared" ref="P228:S228" si="142">SUM(P229:P230)</f>
        <v>1456464319</v>
      </c>
      <c r="Q228" s="466">
        <f t="shared" si="142"/>
        <v>4521764319</v>
      </c>
      <c r="R228" s="466">
        <f t="shared" si="142"/>
        <v>603486309</v>
      </c>
      <c r="S228" s="466">
        <f t="shared" si="142"/>
        <v>450164259</v>
      </c>
      <c r="T228" s="2253">
        <f t="shared" ref="T228:U230" si="143">IF(Q228=0,0,R228/Q228)</f>
        <v>0.13346257487684865</v>
      </c>
      <c r="U228" s="2253">
        <f t="shared" si="143"/>
        <v>0.7459394725059123</v>
      </c>
      <c r="V228" s="453"/>
      <c r="W228" s="889"/>
      <c r="X228" s="2260"/>
      <c r="Y228" s="2841" t="s">
        <v>2453</v>
      </c>
    </row>
    <row r="229" spans="1:25" ht="135">
      <c r="A229" s="2875"/>
      <c r="B229" s="2875"/>
      <c r="C229" s="2875"/>
      <c r="D229" s="2875"/>
      <c r="E229" s="417" t="s">
        <v>2855</v>
      </c>
      <c r="F229" s="466"/>
      <c r="G229" s="213"/>
      <c r="H229" s="466"/>
      <c r="I229" s="213" t="s">
        <v>2856</v>
      </c>
      <c r="J229" s="213" t="s">
        <v>2504</v>
      </c>
      <c r="K229" s="445">
        <v>610</v>
      </c>
      <c r="L229" s="984">
        <v>0.2</v>
      </c>
      <c r="M229" s="413">
        <v>610</v>
      </c>
      <c r="N229" s="984">
        <v>0.05</v>
      </c>
      <c r="O229" s="2875"/>
      <c r="P229" s="466">
        <v>339258150</v>
      </c>
      <c r="Q229" s="466">
        <v>339258150</v>
      </c>
      <c r="R229" s="466">
        <v>299583050</v>
      </c>
      <c r="S229" s="466">
        <v>179171000</v>
      </c>
      <c r="T229" s="2253">
        <f t="shared" si="143"/>
        <v>0.88305336216683372</v>
      </c>
      <c r="U229" s="2253">
        <f t="shared" si="143"/>
        <v>0.59806788134375422</v>
      </c>
      <c r="V229" s="2292">
        <v>45322</v>
      </c>
      <c r="W229" s="889">
        <v>45596</v>
      </c>
      <c r="X229" s="1035" t="s">
        <v>5389</v>
      </c>
      <c r="Y229" s="3146"/>
    </row>
    <row r="230" spans="1:25" ht="81">
      <c r="A230" s="2876"/>
      <c r="B230" s="2876"/>
      <c r="C230" s="2876"/>
      <c r="D230" s="2876"/>
      <c r="E230" s="417" t="s">
        <v>2857</v>
      </c>
      <c r="F230" s="466"/>
      <c r="G230" s="213" t="s">
        <v>2852</v>
      </c>
      <c r="H230" s="466">
        <v>28</v>
      </c>
      <c r="I230" s="213" t="s">
        <v>2858</v>
      </c>
      <c r="J230" s="213" t="s">
        <v>2468</v>
      </c>
      <c r="K230" s="445">
        <v>157</v>
      </c>
      <c r="L230" s="984">
        <v>0.8</v>
      </c>
      <c r="M230" s="413">
        <v>10</v>
      </c>
      <c r="N230" s="984">
        <v>0.28000000000000003</v>
      </c>
      <c r="O230" s="2876"/>
      <c r="P230" s="466">
        <v>1117206169</v>
      </c>
      <c r="Q230" s="466">
        <v>4182506169</v>
      </c>
      <c r="R230" s="466">
        <v>303903259</v>
      </c>
      <c r="S230" s="466">
        <v>270993259</v>
      </c>
      <c r="T230" s="2253">
        <f t="shared" si="143"/>
        <v>7.2660564436814817E-2</v>
      </c>
      <c r="U230" s="2253">
        <f t="shared" si="143"/>
        <v>0.89170895992267063</v>
      </c>
      <c r="V230" s="453">
        <v>45363</v>
      </c>
      <c r="W230" s="889">
        <v>45504</v>
      </c>
      <c r="X230" s="213" t="s">
        <v>5390</v>
      </c>
      <c r="Y230" s="3147"/>
    </row>
    <row r="231" spans="1:25" ht="25.5">
      <c r="A231" s="326"/>
      <c r="B231" s="240">
        <v>52050020005</v>
      </c>
      <c r="C231" s="240" t="s">
        <v>103</v>
      </c>
      <c r="D231" s="235" t="s">
        <v>2859</v>
      </c>
      <c r="E231" s="417"/>
      <c r="F231" s="466">
        <v>0</v>
      </c>
      <c r="G231" s="213"/>
      <c r="H231" s="466">
        <f>H232+H235</f>
        <v>0</v>
      </c>
      <c r="I231" s="213"/>
      <c r="J231" s="863"/>
      <c r="K231" s="463">
        <f>K232+K235</f>
        <v>5</v>
      </c>
      <c r="L231" s="984"/>
      <c r="M231" s="413"/>
      <c r="N231" s="984"/>
      <c r="O231" s="984"/>
      <c r="P231" s="466"/>
      <c r="Q231" s="466"/>
      <c r="R231" s="466"/>
      <c r="S231" s="466"/>
      <c r="T231" s="417"/>
      <c r="U231" s="417"/>
      <c r="V231" s="453"/>
      <c r="W231" s="889"/>
      <c r="X231" s="213"/>
      <c r="Y231" s="883"/>
    </row>
    <row r="232" spans="1:25">
      <c r="A232" s="2823">
        <v>4148</v>
      </c>
      <c r="B232" s="2823"/>
      <c r="C232" s="2823" t="s">
        <v>109</v>
      </c>
      <c r="D232" s="3027" t="s">
        <v>2860</v>
      </c>
      <c r="E232" s="863" t="s">
        <v>2861</v>
      </c>
      <c r="F232" s="466"/>
      <c r="G232" s="213"/>
      <c r="H232" s="466">
        <f>H233</f>
        <v>0</v>
      </c>
      <c r="I232" s="213"/>
      <c r="J232" s="863"/>
      <c r="K232" s="445">
        <f>K233</f>
        <v>1</v>
      </c>
      <c r="L232" s="984">
        <f>SUM(L233:L234)</f>
        <v>1</v>
      </c>
      <c r="M232" s="413"/>
      <c r="N232" s="984">
        <f>SUM(N233:N234)</f>
        <v>0.11</v>
      </c>
      <c r="O232" s="3156">
        <f>IF(Q232&gt;0,N232,"na")</f>
        <v>0.11</v>
      </c>
      <c r="P232" s="466">
        <f t="shared" ref="P232:S232" si="144">SUM(P233:P234)</f>
        <v>99279960</v>
      </c>
      <c r="Q232" s="466">
        <f t="shared" si="144"/>
        <v>399279960</v>
      </c>
      <c r="R232" s="466">
        <f t="shared" si="144"/>
        <v>48913000</v>
      </c>
      <c r="S232" s="466">
        <f t="shared" si="144"/>
        <v>30205000</v>
      </c>
      <c r="T232" s="2253">
        <f t="shared" ref="T232:U237" si="145">IF(Q232=0,0,R232/Q232)</f>
        <v>0.12250301768212959</v>
      </c>
      <c r="U232" s="2253">
        <f t="shared" si="145"/>
        <v>0.61752499335554967</v>
      </c>
      <c r="V232" s="453"/>
      <c r="W232" s="889"/>
      <c r="X232" s="2260"/>
      <c r="Y232" s="2841" t="s">
        <v>2453</v>
      </c>
    </row>
    <row r="233" spans="1:25" ht="108">
      <c r="A233" s="2875"/>
      <c r="B233" s="2875"/>
      <c r="C233" s="2875"/>
      <c r="D233" s="2875"/>
      <c r="E233" s="417" t="s">
        <v>2862</v>
      </c>
      <c r="F233" s="466"/>
      <c r="G233" s="213" t="s">
        <v>2859</v>
      </c>
      <c r="H233" s="466">
        <v>0</v>
      </c>
      <c r="I233" s="213" t="s">
        <v>2863</v>
      </c>
      <c r="J233" s="213" t="s">
        <v>118</v>
      </c>
      <c r="K233" s="445">
        <v>1</v>
      </c>
      <c r="L233" s="984">
        <v>0.8</v>
      </c>
      <c r="M233" s="413">
        <v>0</v>
      </c>
      <c r="N233" s="984">
        <v>0.11</v>
      </c>
      <c r="O233" s="2875"/>
      <c r="P233" s="466">
        <v>84279960</v>
      </c>
      <c r="Q233" s="466">
        <v>316279960</v>
      </c>
      <c r="R233" s="466">
        <v>48913000</v>
      </c>
      <c r="S233" s="466">
        <v>30205000</v>
      </c>
      <c r="T233" s="2253">
        <f t="shared" si="145"/>
        <v>0.15465096176185175</v>
      </c>
      <c r="U233" s="2253">
        <f t="shared" si="145"/>
        <v>0.61752499335554967</v>
      </c>
      <c r="V233" s="453">
        <v>45342</v>
      </c>
      <c r="W233" s="889">
        <v>45596</v>
      </c>
      <c r="X233" s="2293" t="s">
        <v>5391</v>
      </c>
      <c r="Y233" s="3146"/>
    </row>
    <row r="234" spans="1:25" ht="54">
      <c r="A234" s="2876"/>
      <c r="B234" s="2876"/>
      <c r="C234" s="2876"/>
      <c r="D234" s="2876"/>
      <c r="E234" s="417" t="s">
        <v>2864</v>
      </c>
      <c r="F234" s="466"/>
      <c r="G234" s="213"/>
      <c r="H234" s="466"/>
      <c r="I234" s="213" t="s">
        <v>2865</v>
      </c>
      <c r="J234" s="213" t="s">
        <v>2866</v>
      </c>
      <c r="K234" s="445">
        <v>1</v>
      </c>
      <c r="L234" s="984">
        <v>0.2</v>
      </c>
      <c r="M234" s="413">
        <v>0</v>
      </c>
      <c r="N234" s="984">
        <v>0</v>
      </c>
      <c r="O234" s="2876"/>
      <c r="P234" s="466">
        <v>15000000</v>
      </c>
      <c r="Q234" s="466">
        <v>83000000</v>
      </c>
      <c r="R234" s="466">
        <v>0</v>
      </c>
      <c r="S234" s="466">
        <v>0</v>
      </c>
      <c r="T234" s="2253">
        <f t="shared" si="145"/>
        <v>0</v>
      </c>
      <c r="U234" s="2253">
        <f t="shared" si="145"/>
        <v>0</v>
      </c>
      <c r="V234" s="453"/>
      <c r="W234" s="889"/>
      <c r="X234" s="213"/>
      <c r="Y234" s="3147"/>
    </row>
    <row r="235" spans="1:25">
      <c r="A235" s="2823">
        <v>4148</v>
      </c>
      <c r="B235" s="2823"/>
      <c r="C235" s="2823" t="s">
        <v>109</v>
      </c>
      <c r="D235" s="3027" t="s">
        <v>2860</v>
      </c>
      <c r="E235" s="863" t="s">
        <v>2867</v>
      </c>
      <c r="F235" s="466"/>
      <c r="G235" s="213"/>
      <c r="H235" s="466">
        <f>H236</f>
        <v>0</v>
      </c>
      <c r="I235" s="213"/>
      <c r="J235" s="863"/>
      <c r="K235" s="445">
        <f>K236</f>
        <v>4</v>
      </c>
      <c r="L235" s="984">
        <f>SUM(L236:L237)</f>
        <v>1</v>
      </c>
      <c r="M235" s="413"/>
      <c r="N235" s="984">
        <f>SUM(N236:N237)</f>
        <v>0</v>
      </c>
      <c r="O235" s="3156">
        <f>IF(Q235&gt;0,N235,"na")</f>
        <v>0</v>
      </c>
      <c r="P235" s="466">
        <f t="shared" ref="P235:S235" si="146">SUM(P236:P237)</f>
        <v>696606400</v>
      </c>
      <c r="Q235" s="466">
        <f t="shared" si="146"/>
        <v>696606400</v>
      </c>
      <c r="R235" s="466">
        <f t="shared" si="146"/>
        <v>85700104</v>
      </c>
      <c r="S235" s="466">
        <f t="shared" si="146"/>
        <v>0</v>
      </c>
      <c r="T235" s="2253">
        <f t="shared" si="145"/>
        <v>0.12302514590735887</v>
      </c>
      <c r="U235" s="2253">
        <f t="shared" si="145"/>
        <v>0</v>
      </c>
      <c r="V235" s="453"/>
      <c r="W235" s="889"/>
      <c r="X235" s="2260"/>
      <c r="Y235" s="2841" t="s">
        <v>2453</v>
      </c>
    </row>
    <row r="236" spans="1:25" ht="54">
      <c r="A236" s="2875"/>
      <c r="B236" s="2875"/>
      <c r="C236" s="2875"/>
      <c r="D236" s="2875"/>
      <c r="E236" s="417" t="s">
        <v>2868</v>
      </c>
      <c r="F236" s="466"/>
      <c r="G236" s="213" t="s">
        <v>2859</v>
      </c>
      <c r="H236" s="466">
        <v>0</v>
      </c>
      <c r="I236" s="213" t="s">
        <v>2869</v>
      </c>
      <c r="J236" s="213" t="s">
        <v>118</v>
      </c>
      <c r="K236" s="445">
        <v>4</v>
      </c>
      <c r="L236" s="984">
        <v>0.97</v>
      </c>
      <c r="M236" s="413">
        <v>0</v>
      </c>
      <c r="N236" s="984">
        <v>0</v>
      </c>
      <c r="O236" s="2875"/>
      <c r="P236" s="466">
        <v>673550000</v>
      </c>
      <c r="Q236" s="466">
        <v>673550000</v>
      </c>
      <c r="R236" s="466">
        <v>82406333</v>
      </c>
      <c r="S236" s="466">
        <v>0</v>
      </c>
      <c r="T236" s="2253">
        <f t="shared" si="145"/>
        <v>0.122346274218692</v>
      </c>
      <c r="U236" s="2253">
        <f t="shared" si="145"/>
        <v>0</v>
      </c>
      <c r="V236" s="453">
        <v>45470</v>
      </c>
      <c r="W236" s="889">
        <v>45504</v>
      </c>
      <c r="X236" s="213" t="s">
        <v>5392</v>
      </c>
      <c r="Y236" s="3146"/>
    </row>
    <row r="237" spans="1:25" ht="54">
      <c r="A237" s="2876"/>
      <c r="B237" s="2876"/>
      <c r="C237" s="2876"/>
      <c r="D237" s="2876"/>
      <c r="E237" s="417" t="s">
        <v>2870</v>
      </c>
      <c r="F237" s="466"/>
      <c r="G237" s="213"/>
      <c r="H237" s="466"/>
      <c r="I237" s="213" t="s">
        <v>2871</v>
      </c>
      <c r="J237" s="213" t="s">
        <v>2459</v>
      </c>
      <c r="K237" s="445">
        <v>1</v>
      </c>
      <c r="L237" s="984">
        <v>0.03</v>
      </c>
      <c r="M237" s="413">
        <v>0</v>
      </c>
      <c r="N237" s="984">
        <v>0</v>
      </c>
      <c r="O237" s="2876"/>
      <c r="P237" s="466">
        <v>23056400</v>
      </c>
      <c r="Q237" s="466">
        <v>23056400</v>
      </c>
      <c r="R237" s="466">
        <v>3293771</v>
      </c>
      <c r="S237" s="466">
        <v>0</v>
      </c>
      <c r="T237" s="2253">
        <f t="shared" si="145"/>
        <v>0.1428571242691834</v>
      </c>
      <c r="U237" s="2253">
        <f t="shared" si="145"/>
        <v>0</v>
      </c>
      <c r="V237" s="453">
        <v>45470</v>
      </c>
      <c r="W237" s="889">
        <v>45504</v>
      </c>
      <c r="X237" s="213" t="s">
        <v>5392</v>
      </c>
      <c r="Y237" s="3147"/>
    </row>
    <row r="238" spans="1:25" ht="63.75">
      <c r="A238" s="326"/>
      <c r="B238" s="240">
        <v>52050020006</v>
      </c>
      <c r="C238" s="240" t="s">
        <v>103</v>
      </c>
      <c r="D238" s="235" t="s">
        <v>2872</v>
      </c>
      <c r="E238" s="417"/>
      <c r="F238" s="466">
        <v>0</v>
      </c>
      <c r="G238" s="213"/>
      <c r="H238" s="466">
        <f>H239</f>
        <v>60</v>
      </c>
      <c r="I238" s="213"/>
      <c r="J238" s="863"/>
      <c r="K238" s="445">
        <f t="shared" ref="K238:K239" si="147">K239</f>
        <v>134</v>
      </c>
      <c r="L238" s="984"/>
      <c r="M238" s="413"/>
      <c r="N238" s="984"/>
      <c r="O238" s="984"/>
      <c r="P238" s="466"/>
      <c r="Q238" s="466"/>
      <c r="R238" s="466"/>
      <c r="S238" s="466"/>
      <c r="T238" s="417"/>
      <c r="U238" s="417"/>
      <c r="V238" s="453"/>
      <c r="W238" s="889"/>
      <c r="X238" s="213"/>
      <c r="Y238" s="883"/>
    </row>
    <row r="239" spans="1:25">
      <c r="A239" s="2823">
        <v>4148</v>
      </c>
      <c r="B239" s="2823"/>
      <c r="C239" s="2823" t="s">
        <v>109</v>
      </c>
      <c r="D239" s="3027" t="s">
        <v>2873</v>
      </c>
      <c r="E239" s="863" t="s">
        <v>2874</v>
      </c>
      <c r="F239" s="466"/>
      <c r="G239" s="213"/>
      <c r="H239" s="466">
        <f>H240+H241</f>
        <v>60</v>
      </c>
      <c r="I239" s="213"/>
      <c r="J239" s="863"/>
      <c r="K239" s="445">
        <f t="shared" si="147"/>
        <v>134</v>
      </c>
      <c r="L239" s="984">
        <f>SUM(L240:L241)</f>
        <v>1</v>
      </c>
      <c r="M239" s="413"/>
      <c r="N239" s="984">
        <f>SUM(N240:N241)</f>
        <v>0.45</v>
      </c>
      <c r="O239" s="3156">
        <f>IF(Q239&gt;0,N239,"na")</f>
        <v>0.45</v>
      </c>
      <c r="P239" s="466">
        <f t="shared" ref="P239:S239" si="148">SUM(P240:P241)</f>
        <v>3516532706</v>
      </c>
      <c r="Q239" s="466">
        <f t="shared" si="148"/>
        <v>4806892727</v>
      </c>
      <c r="R239" s="466">
        <f t="shared" si="148"/>
        <v>3186511791</v>
      </c>
      <c r="S239" s="466">
        <f t="shared" si="148"/>
        <v>0</v>
      </c>
      <c r="T239" s="2253">
        <f t="shared" ref="T239:U241" si="149">IF(Q239=0,0,R239/Q239)</f>
        <v>0.66290470205452534</v>
      </c>
      <c r="U239" s="2253">
        <f t="shared" si="149"/>
        <v>0</v>
      </c>
      <c r="V239" s="453"/>
      <c r="W239" s="889"/>
      <c r="X239" s="2260"/>
      <c r="Y239" s="2841" t="s">
        <v>2875</v>
      </c>
    </row>
    <row r="240" spans="1:25" ht="81">
      <c r="A240" s="2875"/>
      <c r="B240" s="2875"/>
      <c r="C240" s="2875"/>
      <c r="D240" s="2875"/>
      <c r="E240" s="417" t="s">
        <v>2876</v>
      </c>
      <c r="F240" s="466"/>
      <c r="G240" s="2846" t="s">
        <v>2872</v>
      </c>
      <c r="H240" s="466">
        <v>60</v>
      </c>
      <c r="I240" s="213" t="s">
        <v>5393</v>
      </c>
      <c r="J240" s="213" t="s">
        <v>2877</v>
      </c>
      <c r="K240" s="445">
        <v>134</v>
      </c>
      <c r="L240" s="984">
        <v>0.8</v>
      </c>
      <c r="M240" s="413">
        <v>60</v>
      </c>
      <c r="N240" s="984">
        <v>0.45</v>
      </c>
      <c r="O240" s="2875"/>
      <c r="P240" s="466">
        <v>3416532706</v>
      </c>
      <c r="Q240" s="466">
        <v>4806892727</v>
      </c>
      <c r="R240" s="466">
        <v>3186511791</v>
      </c>
      <c r="S240" s="466">
        <v>0</v>
      </c>
      <c r="T240" s="2253">
        <f t="shared" si="149"/>
        <v>0.66290470205452534</v>
      </c>
      <c r="U240" s="2253">
        <f t="shared" si="149"/>
        <v>0</v>
      </c>
      <c r="V240" s="453">
        <v>45471</v>
      </c>
      <c r="W240" s="889">
        <v>45657</v>
      </c>
      <c r="X240" s="213" t="s">
        <v>5394</v>
      </c>
      <c r="Y240" s="3146"/>
    </row>
    <row r="241" spans="1:25" ht="81">
      <c r="A241" s="2876"/>
      <c r="B241" s="2876"/>
      <c r="C241" s="2876"/>
      <c r="D241" s="2876"/>
      <c r="E241" s="417" t="s">
        <v>2878</v>
      </c>
      <c r="F241" s="466"/>
      <c r="G241" s="2876"/>
      <c r="H241" s="466">
        <v>0</v>
      </c>
      <c r="I241" s="1035" t="s">
        <v>2879</v>
      </c>
      <c r="J241" s="213" t="s">
        <v>2468</v>
      </c>
      <c r="K241" s="445">
        <v>400</v>
      </c>
      <c r="L241" s="984">
        <v>0.2</v>
      </c>
      <c r="M241" s="413">
        <v>0</v>
      </c>
      <c r="N241" s="984">
        <v>0</v>
      </c>
      <c r="O241" s="2876"/>
      <c r="P241" s="466">
        <v>100000000</v>
      </c>
      <c r="Q241" s="466">
        <v>0</v>
      </c>
      <c r="R241" s="466">
        <v>0</v>
      </c>
      <c r="S241" s="466">
        <v>0</v>
      </c>
      <c r="T241" s="2253">
        <f t="shared" si="149"/>
        <v>0</v>
      </c>
      <c r="U241" s="2253">
        <f t="shared" si="149"/>
        <v>0</v>
      </c>
      <c r="V241" s="453"/>
      <c r="W241" s="889"/>
      <c r="X241" s="213"/>
      <c r="Y241" s="3147"/>
    </row>
    <row r="242" spans="1:25" ht="38.25">
      <c r="A242" s="326"/>
      <c r="B242" s="240">
        <v>52050020007</v>
      </c>
      <c r="C242" s="240" t="s">
        <v>103</v>
      </c>
      <c r="D242" s="235" t="s">
        <v>2880</v>
      </c>
      <c r="E242" s="417"/>
      <c r="F242" s="466">
        <v>0</v>
      </c>
      <c r="G242" s="213"/>
      <c r="H242" s="466">
        <f t="shared" ref="H242:H243" si="150">H243</f>
        <v>0</v>
      </c>
      <c r="I242" s="213"/>
      <c r="J242" s="863"/>
      <c r="K242" s="445">
        <f>K243</f>
        <v>1</v>
      </c>
      <c r="L242" s="984"/>
      <c r="M242" s="413"/>
      <c r="N242" s="984"/>
      <c r="O242" s="984"/>
      <c r="P242" s="466"/>
      <c r="Q242" s="466"/>
      <c r="R242" s="466"/>
      <c r="S242" s="466"/>
      <c r="T242" s="417"/>
      <c r="U242" s="417"/>
      <c r="V242" s="453"/>
      <c r="W242" s="889"/>
      <c r="X242" s="213"/>
      <c r="Y242" s="883"/>
    </row>
    <row r="243" spans="1:25">
      <c r="A243" s="2823">
        <v>4148</v>
      </c>
      <c r="B243" s="2823"/>
      <c r="C243" s="2823" t="s">
        <v>109</v>
      </c>
      <c r="D243" s="2846" t="s">
        <v>2881</v>
      </c>
      <c r="E243" s="863" t="s">
        <v>2882</v>
      </c>
      <c r="F243" s="466"/>
      <c r="G243" s="213"/>
      <c r="H243" s="466">
        <f t="shared" si="150"/>
        <v>0</v>
      </c>
      <c r="I243" s="213"/>
      <c r="J243" s="863"/>
      <c r="K243" s="445">
        <f>K245</f>
        <v>1</v>
      </c>
      <c r="L243" s="984">
        <f>SUM(L244:L245)</f>
        <v>1</v>
      </c>
      <c r="M243" s="413"/>
      <c r="N243" s="984">
        <f>SUM(N244:N245)</f>
        <v>2.9000000000000001E-2</v>
      </c>
      <c r="O243" s="3156">
        <f>IF(Q243&gt;0,N243,"na")</f>
        <v>2.9000000000000001E-2</v>
      </c>
      <c r="P243" s="466">
        <f t="shared" ref="P243:S243" si="151">SUM(P244:P245)</f>
        <v>583998070</v>
      </c>
      <c r="Q243" s="466">
        <f t="shared" si="151"/>
        <v>583998070</v>
      </c>
      <c r="R243" s="466">
        <f t="shared" si="151"/>
        <v>85004000</v>
      </c>
      <c r="S243" s="466">
        <f t="shared" si="151"/>
        <v>33498000</v>
      </c>
      <c r="T243" s="2253">
        <f t="shared" ref="T243:U245" si="152">IF(Q243=0,0,R243/Q243)</f>
        <v>0.14555527555082504</v>
      </c>
      <c r="U243" s="2253">
        <f t="shared" si="152"/>
        <v>0.3940755729142158</v>
      </c>
      <c r="V243" s="453"/>
      <c r="W243" s="889"/>
      <c r="X243" s="2260"/>
      <c r="Y243" s="2841" t="s">
        <v>2474</v>
      </c>
    </row>
    <row r="244" spans="1:25" ht="175.5">
      <c r="A244" s="2875"/>
      <c r="B244" s="2875"/>
      <c r="C244" s="2875"/>
      <c r="D244" s="2875"/>
      <c r="E244" s="417" t="s">
        <v>2883</v>
      </c>
      <c r="F244" s="466"/>
      <c r="G244" s="3027" t="s">
        <v>2880</v>
      </c>
      <c r="H244" s="3159">
        <v>0</v>
      </c>
      <c r="I244" s="213" t="s">
        <v>2884</v>
      </c>
      <c r="J244" s="213" t="s">
        <v>253</v>
      </c>
      <c r="K244" s="445">
        <v>75</v>
      </c>
      <c r="L244" s="984">
        <v>0.44</v>
      </c>
      <c r="M244" s="413">
        <v>0</v>
      </c>
      <c r="N244" s="984">
        <v>2.9000000000000001E-2</v>
      </c>
      <c r="O244" s="2875"/>
      <c r="P244" s="466">
        <v>102090405</v>
      </c>
      <c r="Q244" s="466">
        <v>102090405</v>
      </c>
      <c r="R244" s="466">
        <v>62814000</v>
      </c>
      <c r="S244" s="466">
        <v>33498000</v>
      </c>
      <c r="T244" s="2253">
        <f t="shared" si="152"/>
        <v>0.61527819387140248</v>
      </c>
      <c r="U244" s="2253">
        <f t="shared" si="152"/>
        <v>0.53328875728340819</v>
      </c>
      <c r="V244" s="453">
        <v>45355</v>
      </c>
      <c r="W244" s="889">
        <v>45596</v>
      </c>
      <c r="X244" s="213" t="s">
        <v>5395</v>
      </c>
      <c r="Y244" s="3146"/>
    </row>
    <row r="245" spans="1:25" ht="40.5">
      <c r="A245" s="2876"/>
      <c r="B245" s="2876"/>
      <c r="C245" s="2876"/>
      <c r="D245" s="2876"/>
      <c r="E245" s="417" t="s">
        <v>2885</v>
      </c>
      <c r="F245" s="466"/>
      <c r="G245" s="2876"/>
      <c r="H245" s="2876"/>
      <c r="I245" s="213" t="s">
        <v>2886</v>
      </c>
      <c r="J245" s="213" t="s">
        <v>2547</v>
      </c>
      <c r="K245" s="445">
        <v>1</v>
      </c>
      <c r="L245" s="984">
        <v>0.56000000000000005</v>
      </c>
      <c r="M245" s="413">
        <v>0</v>
      </c>
      <c r="N245" s="984">
        <v>0</v>
      </c>
      <c r="O245" s="2876"/>
      <c r="P245" s="466">
        <v>481907665</v>
      </c>
      <c r="Q245" s="466">
        <v>481907665</v>
      </c>
      <c r="R245" s="466">
        <v>22190000</v>
      </c>
      <c r="S245" s="466">
        <v>0</v>
      </c>
      <c r="T245" s="2253">
        <f t="shared" si="152"/>
        <v>4.6046165296001258E-2</v>
      </c>
      <c r="U245" s="2253">
        <f t="shared" si="152"/>
        <v>0</v>
      </c>
      <c r="V245" s="453">
        <v>45469</v>
      </c>
      <c r="W245" s="889">
        <v>45596</v>
      </c>
      <c r="X245" s="213" t="s">
        <v>5396</v>
      </c>
      <c r="Y245" s="3147"/>
    </row>
    <row r="246" spans="1:25" ht="38.25">
      <c r="A246" s="326"/>
      <c r="B246" s="240">
        <v>52050020008</v>
      </c>
      <c r="C246" s="240" t="s">
        <v>103</v>
      </c>
      <c r="D246" s="235" t="s">
        <v>2887</v>
      </c>
      <c r="E246" s="417"/>
      <c r="F246" s="466">
        <v>0</v>
      </c>
      <c r="G246" s="213"/>
      <c r="H246" s="466">
        <f t="shared" ref="H246:H247" si="153">H247</f>
        <v>0</v>
      </c>
      <c r="I246" s="213"/>
      <c r="J246" s="863"/>
      <c r="K246" s="445">
        <f t="shared" ref="K246:K247" si="154">K247</f>
        <v>64</v>
      </c>
      <c r="L246" s="984"/>
      <c r="M246" s="413"/>
      <c r="N246" s="984"/>
      <c r="O246" s="984"/>
      <c r="P246" s="466"/>
      <c r="Q246" s="466"/>
      <c r="R246" s="466"/>
      <c r="S246" s="466"/>
      <c r="T246" s="417"/>
      <c r="U246" s="417"/>
      <c r="V246" s="453"/>
      <c r="W246" s="889"/>
      <c r="X246" s="213"/>
      <c r="Y246" s="883"/>
    </row>
    <row r="247" spans="1:25">
      <c r="A247" s="2823">
        <v>4148</v>
      </c>
      <c r="B247" s="2823"/>
      <c r="C247" s="2823" t="s">
        <v>109</v>
      </c>
      <c r="D247" s="3027" t="s">
        <v>2888</v>
      </c>
      <c r="E247" s="863" t="s">
        <v>2889</v>
      </c>
      <c r="F247" s="466"/>
      <c r="G247" s="213"/>
      <c r="H247" s="466">
        <f t="shared" si="153"/>
        <v>0</v>
      </c>
      <c r="I247" s="213"/>
      <c r="J247" s="863"/>
      <c r="K247" s="445">
        <f t="shared" si="154"/>
        <v>64</v>
      </c>
      <c r="L247" s="984">
        <f>SUM(L248:L249)</f>
        <v>1</v>
      </c>
      <c r="M247" s="413"/>
      <c r="N247" s="984">
        <f>SUM(N248:N249)</f>
        <v>0.21</v>
      </c>
      <c r="O247" s="3156">
        <f>IF(Q247&gt;0,N247,"na")</f>
        <v>0.21</v>
      </c>
      <c r="P247" s="466">
        <f t="shared" ref="P247:S247" si="155">SUM(P248:P249)</f>
        <v>245336557</v>
      </c>
      <c r="Q247" s="466">
        <f t="shared" si="155"/>
        <v>330518057</v>
      </c>
      <c r="R247" s="466">
        <f t="shared" si="155"/>
        <v>239524457</v>
      </c>
      <c r="S247" s="466">
        <f t="shared" si="155"/>
        <v>0</v>
      </c>
      <c r="T247" s="2253">
        <f t="shared" ref="T247:U249" si="156">IF(Q247=0,0,R247/Q247)</f>
        <v>0.72469401270866118</v>
      </c>
      <c r="U247" s="2253">
        <f t="shared" si="156"/>
        <v>0</v>
      </c>
      <c r="V247" s="453"/>
      <c r="W247" s="889"/>
      <c r="X247" s="2260"/>
      <c r="Y247" s="2841" t="s">
        <v>2453</v>
      </c>
    </row>
    <row r="248" spans="1:25" ht="175.5">
      <c r="A248" s="2875"/>
      <c r="B248" s="2875"/>
      <c r="C248" s="2875"/>
      <c r="D248" s="2875"/>
      <c r="E248" s="417" t="s">
        <v>2890</v>
      </c>
      <c r="F248" s="466"/>
      <c r="G248" s="213" t="s">
        <v>2887</v>
      </c>
      <c r="H248" s="466">
        <v>0</v>
      </c>
      <c r="I248" s="213" t="s">
        <v>5397</v>
      </c>
      <c r="J248" s="213" t="s">
        <v>106</v>
      </c>
      <c r="K248" s="445">
        <v>64</v>
      </c>
      <c r="L248" s="984">
        <v>0.8</v>
      </c>
      <c r="M248" s="413">
        <v>0</v>
      </c>
      <c r="N248" s="984">
        <v>0.21</v>
      </c>
      <c r="O248" s="2875"/>
      <c r="P248" s="466">
        <v>233812100</v>
      </c>
      <c r="Q248" s="466">
        <v>233812100</v>
      </c>
      <c r="R248" s="466">
        <v>228000000</v>
      </c>
      <c r="S248" s="466">
        <v>0</v>
      </c>
      <c r="T248" s="2253">
        <f t="shared" si="156"/>
        <v>0.97514200505448601</v>
      </c>
      <c r="U248" s="2253">
        <f t="shared" si="156"/>
        <v>0</v>
      </c>
      <c r="V248" s="453">
        <v>45435</v>
      </c>
      <c r="W248" s="889">
        <v>45639</v>
      </c>
      <c r="X248" s="1035" t="s">
        <v>5398</v>
      </c>
      <c r="Y248" s="3146"/>
    </row>
    <row r="249" spans="1:25" ht="54">
      <c r="A249" s="2876"/>
      <c r="B249" s="2876"/>
      <c r="C249" s="2876"/>
      <c r="D249" s="2876"/>
      <c r="E249" s="417" t="s">
        <v>2891</v>
      </c>
      <c r="F249" s="466"/>
      <c r="G249" s="213"/>
      <c r="H249" s="466"/>
      <c r="I249" s="213" t="s">
        <v>2892</v>
      </c>
      <c r="J249" s="213" t="s">
        <v>2459</v>
      </c>
      <c r="K249" s="445">
        <v>1</v>
      </c>
      <c r="L249" s="984">
        <v>0.2</v>
      </c>
      <c r="M249" s="413">
        <v>0</v>
      </c>
      <c r="N249" s="984">
        <v>0</v>
      </c>
      <c r="O249" s="2876"/>
      <c r="P249" s="466">
        <v>11524457</v>
      </c>
      <c r="Q249" s="466">
        <v>96705957</v>
      </c>
      <c r="R249" s="466">
        <v>11524457</v>
      </c>
      <c r="S249" s="466">
        <v>0</v>
      </c>
      <c r="T249" s="2253">
        <f t="shared" si="156"/>
        <v>0.11917008380362752</v>
      </c>
      <c r="U249" s="2253">
        <f t="shared" si="156"/>
        <v>0</v>
      </c>
      <c r="V249" s="453">
        <v>45435</v>
      </c>
      <c r="W249" s="889">
        <v>45639</v>
      </c>
      <c r="X249" s="213" t="s">
        <v>5399</v>
      </c>
      <c r="Y249" s="3147"/>
    </row>
    <row r="250" spans="1:25" ht="63.75">
      <c r="A250" s="326"/>
      <c r="B250" s="240">
        <v>52050020009</v>
      </c>
      <c r="C250" s="240" t="s">
        <v>103</v>
      </c>
      <c r="D250" s="235" t="s">
        <v>2893</v>
      </c>
      <c r="E250" s="417"/>
      <c r="F250" s="466">
        <v>0</v>
      </c>
      <c r="G250" s="213"/>
      <c r="H250" s="466">
        <f>H251</f>
        <v>0</v>
      </c>
      <c r="I250" s="213"/>
      <c r="J250" s="863"/>
      <c r="K250" s="445">
        <f>K251</f>
        <v>15</v>
      </c>
      <c r="L250" s="984"/>
      <c r="M250" s="413"/>
      <c r="N250" s="984"/>
      <c r="O250" s="984"/>
      <c r="P250" s="466"/>
      <c r="Q250" s="466"/>
      <c r="R250" s="466"/>
      <c r="S250" s="466"/>
      <c r="T250" s="417"/>
      <c r="U250" s="417"/>
      <c r="V250" s="453"/>
      <c r="W250" s="889"/>
      <c r="X250" s="213"/>
      <c r="Y250" s="883"/>
    </row>
    <row r="251" spans="1:25">
      <c r="A251" s="2823">
        <v>4148</v>
      </c>
      <c r="B251" s="2823"/>
      <c r="C251" s="2823" t="s">
        <v>109</v>
      </c>
      <c r="D251" s="3027" t="s">
        <v>2894</v>
      </c>
      <c r="E251" s="863" t="s">
        <v>2895</v>
      </c>
      <c r="F251" s="466"/>
      <c r="G251" s="213"/>
      <c r="H251" s="466">
        <f>H254</f>
        <v>0</v>
      </c>
      <c r="I251" s="213"/>
      <c r="J251" s="863"/>
      <c r="K251" s="445">
        <f>K254</f>
        <v>15</v>
      </c>
      <c r="L251" s="984">
        <f>SUM(L252:L254)</f>
        <v>1</v>
      </c>
      <c r="M251" s="413"/>
      <c r="N251" s="984">
        <f>SUM(N252:N254)</f>
        <v>0.16300000000000001</v>
      </c>
      <c r="O251" s="3156">
        <f>IF(Q251&gt;0,N251,"na")</f>
        <v>0.16300000000000001</v>
      </c>
      <c r="P251" s="466">
        <f t="shared" ref="P251:S251" si="157">SUM(P252:P254)</f>
        <v>300000000</v>
      </c>
      <c r="Q251" s="466">
        <f t="shared" si="157"/>
        <v>300000000</v>
      </c>
      <c r="R251" s="466">
        <f t="shared" si="157"/>
        <v>300000000</v>
      </c>
      <c r="S251" s="466">
        <f t="shared" si="157"/>
        <v>0</v>
      </c>
      <c r="T251" s="2253">
        <f t="shared" ref="T251:U254" si="158">IF(Q251=0,0,R251/Q251)</f>
        <v>1</v>
      </c>
      <c r="U251" s="2253">
        <f t="shared" si="158"/>
        <v>0</v>
      </c>
      <c r="V251" s="453"/>
      <c r="W251" s="889"/>
      <c r="X251" s="2260"/>
      <c r="Y251" s="2841" t="s">
        <v>2453</v>
      </c>
    </row>
    <row r="252" spans="1:25" ht="108">
      <c r="A252" s="2875"/>
      <c r="B252" s="2875"/>
      <c r="C252" s="2875"/>
      <c r="D252" s="2875"/>
      <c r="E252" s="417" t="s">
        <v>2896</v>
      </c>
      <c r="F252" s="466"/>
      <c r="G252" s="213"/>
      <c r="H252" s="466"/>
      <c r="I252" s="213" t="s">
        <v>2897</v>
      </c>
      <c r="J252" s="213" t="s">
        <v>106</v>
      </c>
      <c r="K252" s="445">
        <v>20</v>
      </c>
      <c r="L252" s="984">
        <v>0.11</v>
      </c>
      <c r="M252" s="413">
        <v>0</v>
      </c>
      <c r="N252" s="984">
        <v>2.3E-2</v>
      </c>
      <c r="O252" s="2875"/>
      <c r="P252" s="466">
        <v>36650000</v>
      </c>
      <c r="Q252" s="466">
        <v>36650000</v>
      </c>
      <c r="R252" s="466">
        <v>36650000</v>
      </c>
      <c r="S252" s="466">
        <v>0</v>
      </c>
      <c r="T252" s="2253">
        <f t="shared" si="158"/>
        <v>1</v>
      </c>
      <c r="U252" s="2253">
        <f t="shared" si="158"/>
        <v>0</v>
      </c>
      <c r="V252" s="453">
        <v>45385</v>
      </c>
      <c r="W252" s="889">
        <v>45626</v>
      </c>
      <c r="X252" s="213" t="s">
        <v>5400</v>
      </c>
      <c r="Y252" s="3146"/>
    </row>
    <row r="253" spans="1:25" ht="67.5">
      <c r="A253" s="2875"/>
      <c r="B253" s="2875"/>
      <c r="C253" s="2875"/>
      <c r="D253" s="2875"/>
      <c r="E253" s="417" t="s">
        <v>2898</v>
      </c>
      <c r="F253" s="466"/>
      <c r="G253" s="213"/>
      <c r="H253" s="466"/>
      <c r="I253" s="213" t="s">
        <v>2899</v>
      </c>
      <c r="J253" s="213" t="s">
        <v>2900</v>
      </c>
      <c r="K253" s="445">
        <v>1</v>
      </c>
      <c r="L253" s="984">
        <v>0.84</v>
      </c>
      <c r="M253" s="413">
        <v>0</v>
      </c>
      <c r="N253" s="984">
        <v>0.14000000000000001</v>
      </c>
      <c r="O253" s="2875"/>
      <c r="P253" s="466">
        <v>260700000</v>
      </c>
      <c r="Q253" s="466">
        <v>260700000</v>
      </c>
      <c r="R253" s="466">
        <v>260700000</v>
      </c>
      <c r="S253" s="466">
        <v>0</v>
      </c>
      <c r="T253" s="2253">
        <f t="shared" si="158"/>
        <v>1</v>
      </c>
      <c r="U253" s="2253">
        <f t="shared" si="158"/>
        <v>0</v>
      </c>
      <c r="V253" s="453">
        <v>45385</v>
      </c>
      <c r="W253" s="889">
        <v>45626</v>
      </c>
      <c r="X253" s="213" t="s">
        <v>5401</v>
      </c>
      <c r="Y253" s="3146"/>
    </row>
    <row r="254" spans="1:25" ht="67.5">
      <c r="A254" s="2876"/>
      <c r="B254" s="2876"/>
      <c r="C254" s="2876"/>
      <c r="D254" s="2876"/>
      <c r="E254" s="417" t="s">
        <v>2901</v>
      </c>
      <c r="F254" s="466"/>
      <c r="G254" s="213" t="s">
        <v>2893</v>
      </c>
      <c r="H254" s="466">
        <v>0</v>
      </c>
      <c r="I254" s="213" t="s">
        <v>2902</v>
      </c>
      <c r="J254" s="213" t="s">
        <v>2493</v>
      </c>
      <c r="K254" s="445">
        <v>15</v>
      </c>
      <c r="L254" s="984">
        <v>0.05</v>
      </c>
      <c r="M254" s="413">
        <v>0</v>
      </c>
      <c r="N254" s="984">
        <v>0</v>
      </c>
      <c r="O254" s="2876"/>
      <c r="P254" s="466">
        <v>2650000</v>
      </c>
      <c r="Q254" s="466">
        <v>2650000</v>
      </c>
      <c r="R254" s="466">
        <v>2650000</v>
      </c>
      <c r="S254" s="466">
        <v>0</v>
      </c>
      <c r="T254" s="2253">
        <f t="shared" si="158"/>
        <v>1</v>
      </c>
      <c r="U254" s="2253">
        <f t="shared" si="158"/>
        <v>0</v>
      </c>
      <c r="V254" s="453">
        <v>45385</v>
      </c>
      <c r="W254" s="889">
        <v>45626</v>
      </c>
      <c r="X254" s="213" t="s">
        <v>5402</v>
      </c>
      <c r="Y254" s="3147"/>
    </row>
    <row r="255" spans="1:25" ht="51">
      <c r="A255" s="326"/>
      <c r="B255" s="240">
        <v>52050020010</v>
      </c>
      <c r="C255" s="240" t="s">
        <v>103</v>
      </c>
      <c r="D255" s="235" t="s">
        <v>2903</v>
      </c>
      <c r="E255" s="417"/>
      <c r="F255" s="466">
        <v>0</v>
      </c>
      <c r="G255" s="213"/>
      <c r="H255" s="466">
        <f t="shared" ref="H255:H256" si="159">H256</f>
        <v>0</v>
      </c>
      <c r="I255" s="213"/>
      <c r="J255" s="863"/>
      <c r="K255" s="445">
        <f t="shared" ref="K255:K256" si="160">K256</f>
        <v>5</v>
      </c>
      <c r="L255" s="984"/>
      <c r="M255" s="413"/>
      <c r="N255" s="984"/>
      <c r="O255" s="984"/>
      <c r="P255" s="466"/>
      <c r="Q255" s="466"/>
      <c r="R255" s="466"/>
      <c r="S255" s="466"/>
      <c r="T255" s="417"/>
      <c r="U255" s="417"/>
      <c r="V255" s="453"/>
      <c r="W255" s="889"/>
      <c r="X255" s="213"/>
      <c r="Y255" s="883"/>
    </row>
    <row r="256" spans="1:25">
      <c r="A256" s="2823">
        <v>4148</v>
      </c>
      <c r="B256" s="2823"/>
      <c r="C256" s="2823" t="s">
        <v>109</v>
      </c>
      <c r="D256" s="3027" t="s">
        <v>2904</v>
      </c>
      <c r="E256" s="863" t="s">
        <v>2905</v>
      </c>
      <c r="F256" s="466"/>
      <c r="G256" s="213"/>
      <c r="H256" s="466">
        <f t="shared" si="159"/>
        <v>0</v>
      </c>
      <c r="I256" s="213"/>
      <c r="J256" s="863"/>
      <c r="K256" s="445">
        <f t="shared" si="160"/>
        <v>5</v>
      </c>
      <c r="L256" s="984">
        <f>SUM(L257:L258)</f>
        <v>1</v>
      </c>
      <c r="M256" s="413"/>
      <c r="N256" s="984">
        <f>SUM(N257:N258)</f>
        <v>0.24</v>
      </c>
      <c r="O256" s="3156">
        <f>IF(Q256&gt;0,N256,"na")</f>
        <v>0.24</v>
      </c>
      <c r="P256" s="466">
        <f t="shared" ref="P256:S256" si="161">SUM(P257:P258)</f>
        <v>1583429624</v>
      </c>
      <c r="Q256" s="466">
        <f t="shared" si="161"/>
        <v>1583429624</v>
      </c>
      <c r="R256" s="466">
        <f t="shared" si="161"/>
        <v>1308059814</v>
      </c>
      <c r="S256" s="466">
        <f t="shared" si="161"/>
        <v>343185736</v>
      </c>
      <c r="T256" s="2253">
        <f t="shared" ref="T256:U258" si="162">IF(Q256=0,0,R256/Q256)</f>
        <v>0.82609280145689634</v>
      </c>
      <c r="U256" s="2253">
        <f t="shared" si="162"/>
        <v>0.26236241823724432</v>
      </c>
      <c r="V256" s="453"/>
      <c r="W256" s="889"/>
      <c r="X256" s="2260"/>
      <c r="Y256" s="2841" t="s">
        <v>2453</v>
      </c>
    </row>
    <row r="257" spans="1:25" ht="175.5">
      <c r="A257" s="2875"/>
      <c r="B257" s="2875"/>
      <c r="C257" s="2875"/>
      <c r="D257" s="2875"/>
      <c r="E257" s="417" t="s">
        <v>2906</v>
      </c>
      <c r="F257" s="466"/>
      <c r="G257" s="213" t="s">
        <v>2903</v>
      </c>
      <c r="H257" s="466">
        <v>0</v>
      </c>
      <c r="I257" s="213" t="s">
        <v>2907</v>
      </c>
      <c r="J257" s="213" t="s">
        <v>2459</v>
      </c>
      <c r="K257" s="445">
        <v>5</v>
      </c>
      <c r="L257" s="984">
        <v>0.8</v>
      </c>
      <c r="M257" s="413">
        <v>0</v>
      </c>
      <c r="N257" s="984">
        <v>0.24</v>
      </c>
      <c r="O257" s="2875"/>
      <c r="P257" s="466">
        <v>1491607418</v>
      </c>
      <c r="Q257" s="466">
        <v>1491607418</v>
      </c>
      <c r="R257" s="466">
        <v>1308059814</v>
      </c>
      <c r="S257" s="466">
        <v>343185736</v>
      </c>
      <c r="T257" s="2253">
        <f t="shared" si="162"/>
        <v>0.87694643926743998</v>
      </c>
      <c r="U257" s="2253">
        <f t="shared" si="162"/>
        <v>0.26236241823724432</v>
      </c>
      <c r="V257" s="453">
        <v>45322</v>
      </c>
      <c r="W257" s="889">
        <v>45596</v>
      </c>
      <c r="X257" s="213" t="s">
        <v>5403</v>
      </c>
      <c r="Y257" s="3146"/>
    </row>
    <row r="258" spans="1:25" ht="40.5">
      <c r="A258" s="2876"/>
      <c r="B258" s="2876"/>
      <c r="C258" s="2876"/>
      <c r="D258" s="2876"/>
      <c r="E258" s="417" t="s">
        <v>2908</v>
      </c>
      <c r="F258" s="466"/>
      <c r="G258" s="213"/>
      <c r="H258" s="466"/>
      <c r="I258" s="213" t="s">
        <v>2909</v>
      </c>
      <c r="J258" s="213" t="s">
        <v>2510</v>
      </c>
      <c r="K258" s="445">
        <v>25</v>
      </c>
      <c r="L258" s="984">
        <v>0.2</v>
      </c>
      <c r="M258" s="413">
        <v>0</v>
      </c>
      <c r="N258" s="984">
        <v>0</v>
      </c>
      <c r="O258" s="2876"/>
      <c r="P258" s="466">
        <v>91822206</v>
      </c>
      <c r="Q258" s="466">
        <v>91822206</v>
      </c>
      <c r="R258" s="466">
        <v>0</v>
      </c>
      <c r="S258" s="466">
        <v>0</v>
      </c>
      <c r="T258" s="2253">
        <f t="shared" si="162"/>
        <v>0</v>
      </c>
      <c r="U258" s="2253">
        <f t="shared" si="162"/>
        <v>0</v>
      </c>
      <c r="V258" s="453"/>
      <c r="W258" s="889"/>
      <c r="X258" s="213"/>
      <c r="Y258" s="3147"/>
    </row>
    <row r="259" spans="1:25" ht="38.25">
      <c r="A259" s="326"/>
      <c r="B259" s="240">
        <v>52050020012</v>
      </c>
      <c r="C259" s="240" t="s">
        <v>103</v>
      </c>
      <c r="D259" s="235" t="s">
        <v>2910</v>
      </c>
      <c r="E259" s="417"/>
      <c r="F259" s="466">
        <v>0</v>
      </c>
      <c r="G259" s="213"/>
      <c r="H259" s="466">
        <f t="shared" ref="H259:H260" si="163">H260</f>
        <v>0</v>
      </c>
      <c r="I259" s="213"/>
      <c r="J259" s="863"/>
      <c r="K259" s="445">
        <f t="shared" ref="K259:K260" si="164">K260</f>
        <v>1047</v>
      </c>
      <c r="L259" s="984"/>
      <c r="M259" s="413"/>
      <c r="N259" s="984"/>
      <c r="O259" s="984"/>
      <c r="P259" s="466"/>
      <c r="Q259" s="466"/>
      <c r="R259" s="466"/>
      <c r="S259" s="466"/>
      <c r="T259" s="417"/>
      <c r="U259" s="417"/>
      <c r="V259" s="453"/>
      <c r="W259" s="889"/>
      <c r="X259" s="213"/>
      <c r="Y259" s="883"/>
    </row>
    <row r="260" spans="1:25">
      <c r="A260" s="2823">
        <v>4148</v>
      </c>
      <c r="B260" s="2823"/>
      <c r="C260" s="2823" t="s">
        <v>109</v>
      </c>
      <c r="D260" s="3027" t="s">
        <v>2911</v>
      </c>
      <c r="E260" s="863" t="s">
        <v>2912</v>
      </c>
      <c r="F260" s="466"/>
      <c r="G260" s="213"/>
      <c r="H260" s="466">
        <f t="shared" si="163"/>
        <v>0</v>
      </c>
      <c r="I260" s="213"/>
      <c r="J260" s="863"/>
      <c r="K260" s="445">
        <f t="shared" si="164"/>
        <v>1047</v>
      </c>
      <c r="L260" s="984">
        <f>SUM(L261:L263)</f>
        <v>1</v>
      </c>
      <c r="M260" s="413"/>
      <c r="N260" s="984">
        <f>SUM(N261:N263)</f>
        <v>0</v>
      </c>
      <c r="O260" s="3156">
        <f>IF(Q260&gt;0,N260,"na")</f>
        <v>0</v>
      </c>
      <c r="P260" s="466">
        <f t="shared" ref="P260:S260" si="165">SUM(P261:P263)</f>
        <v>3559771618</v>
      </c>
      <c r="Q260" s="466">
        <f t="shared" si="165"/>
        <v>4307006000</v>
      </c>
      <c r="R260" s="466">
        <f t="shared" si="165"/>
        <v>2902128969</v>
      </c>
      <c r="S260" s="466">
        <f t="shared" si="165"/>
        <v>0</v>
      </c>
      <c r="T260" s="2253">
        <f t="shared" ref="T260:U263" si="166">IF(Q260=0,0,R260/Q260)</f>
        <v>0.67381586396675552</v>
      </c>
      <c r="U260" s="2253">
        <f t="shared" si="166"/>
        <v>0</v>
      </c>
      <c r="V260" s="453"/>
      <c r="W260" s="889"/>
      <c r="X260" s="2260"/>
      <c r="Y260" s="2841" t="s">
        <v>2453</v>
      </c>
    </row>
    <row r="261" spans="1:25" ht="54">
      <c r="A261" s="2875"/>
      <c r="B261" s="2875"/>
      <c r="C261" s="2875"/>
      <c r="D261" s="2875"/>
      <c r="E261" s="417" t="s">
        <v>2913</v>
      </c>
      <c r="F261" s="466"/>
      <c r="G261" s="213" t="s">
        <v>2910</v>
      </c>
      <c r="H261" s="466">
        <v>0</v>
      </c>
      <c r="I261" s="213" t="s">
        <v>5404</v>
      </c>
      <c r="J261" s="213" t="s">
        <v>106</v>
      </c>
      <c r="K261" s="445">
        <v>1047</v>
      </c>
      <c r="L261" s="984">
        <v>0.54</v>
      </c>
      <c r="M261" s="413">
        <v>0</v>
      </c>
      <c r="N261" s="984">
        <v>0</v>
      </c>
      <c r="O261" s="2875"/>
      <c r="P261" s="466">
        <v>1690344164</v>
      </c>
      <c r="Q261" s="466">
        <v>2311435631</v>
      </c>
      <c r="R261" s="466">
        <v>2311435630</v>
      </c>
      <c r="S261" s="466">
        <v>0</v>
      </c>
      <c r="T261" s="2253">
        <f t="shared" si="166"/>
        <v>0.9999999995673684</v>
      </c>
      <c r="U261" s="2253">
        <f t="shared" si="166"/>
        <v>0</v>
      </c>
      <c r="V261" s="453">
        <v>45470</v>
      </c>
      <c r="W261" s="889">
        <v>45504</v>
      </c>
      <c r="X261" s="213" t="s">
        <v>5392</v>
      </c>
      <c r="Y261" s="3146"/>
    </row>
    <row r="262" spans="1:25" ht="40.5">
      <c r="A262" s="2875"/>
      <c r="B262" s="2875"/>
      <c r="C262" s="2875"/>
      <c r="D262" s="2875"/>
      <c r="E262" s="417" t="s">
        <v>2914</v>
      </c>
      <c r="F262" s="466"/>
      <c r="G262" s="213"/>
      <c r="H262" s="466"/>
      <c r="I262" s="213" t="s">
        <v>2915</v>
      </c>
      <c r="J262" s="213" t="s">
        <v>2559</v>
      </c>
      <c r="K262" s="445">
        <v>4</v>
      </c>
      <c r="L262" s="984">
        <v>0.08</v>
      </c>
      <c r="M262" s="413">
        <v>0</v>
      </c>
      <c r="N262" s="984">
        <v>0</v>
      </c>
      <c r="O262" s="2875"/>
      <c r="P262" s="466">
        <v>353412551</v>
      </c>
      <c r="Q262" s="466">
        <v>353412551</v>
      </c>
      <c r="R262" s="466">
        <v>307891560</v>
      </c>
      <c r="S262" s="466">
        <v>0</v>
      </c>
      <c r="T262" s="2253">
        <f t="shared" si="166"/>
        <v>0.87119588460795783</v>
      </c>
      <c r="U262" s="2253">
        <f t="shared" si="166"/>
        <v>0</v>
      </c>
      <c r="V262" s="453">
        <v>45470</v>
      </c>
      <c r="W262" s="889">
        <v>45504</v>
      </c>
      <c r="X262" s="213" t="s">
        <v>5392</v>
      </c>
      <c r="Y262" s="3146"/>
    </row>
    <row r="263" spans="1:25" ht="40.5">
      <c r="A263" s="2876"/>
      <c r="B263" s="2876"/>
      <c r="C263" s="2876"/>
      <c r="D263" s="2876"/>
      <c r="E263" s="417" t="s">
        <v>2916</v>
      </c>
      <c r="F263" s="466"/>
      <c r="G263" s="213"/>
      <c r="H263" s="466"/>
      <c r="I263" s="213" t="s">
        <v>2917</v>
      </c>
      <c r="J263" s="213" t="s">
        <v>2513</v>
      </c>
      <c r="K263" s="445">
        <v>4</v>
      </c>
      <c r="L263" s="984">
        <v>0.38</v>
      </c>
      <c r="M263" s="413">
        <v>0</v>
      </c>
      <c r="N263" s="984">
        <v>0</v>
      </c>
      <c r="O263" s="2876"/>
      <c r="P263" s="466">
        <v>1516014903</v>
      </c>
      <c r="Q263" s="466">
        <v>1642157818</v>
      </c>
      <c r="R263" s="466">
        <v>282801779</v>
      </c>
      <c r="S263" s="466">
        <v>0</v>
      </c>
      <c r="T263" s="2253">
        <f t="shared" si="166"/>
        <v>0.17221352046688609</v>
      </c>
      <c r="U263" s="2253">
        <f t="shared" si="166"/>
        <v>0</v>
      </c>
      <c r="V263" s="453">
        <v>45470</v>
      </c>
      <c r="W263" s="889">
        <v>45504</v>
      </c>
      <c r="X263" s="213" t="s">
        <v>5392</v>
      </c>
      <c r="Y263" s="3147"/>
    </row>
    <row r="264" spans="1:25" ht="38.25">
      <c r="A264" s="326"/>
      <c r="B264" s="240">
        <v>52050020013</v>
      </c>
      <c r="C264" s="240" t="s">
        <v>103</v>
      </c>
      <c r="D264" s="235" t="s">
        <v>2918</v>
      </c>
      <c r="E264" s="417"/>
      <c r="F264" s="466">
        <v>0</v>
      </c>
      <c r="G264" s="213"/>
      <c r="H264" s="466">
        <f t="shared" ref="H264:H265" si="167">H265</f>
        <v>0</v>
      </c>
      <c r="I264" s="213"/>
      <c r="J264" s="863"/>
      <c r="K264" s="463">
        <f t="shared" ref="K264:K265" si="168">K265</f>
        <v>45</v>
      </c>
      <c r="L264" s="984"/>
      <c r="M264" s="413"/>
      <c r="N264" s="984"/>
      <c r="O264" s="984"/>
      <c r="P264" s="466"/>
      <c r="Q264" s="466"/>
      <c r="R264" s="466"/>
      <c r="S264" s="466"/>
      <c r="T264" s="417"/>
      <c r="U264" s="417"/>
      <c r="V264" s="453"/>
      <c r="W264" s="889"/>
      <c r="X264" s="213"/>
      <c r="Y264" s="883"/>
    </row>
    <row r="265" spans="1:25">
      <c r="A265" s="2823">
        <v>4148</v>
      </c>
      <c r="B265" s="3158"/>
      <c r="C265" s="2823" t="s">
        <v>109</v>
      </c>
      <c r="D265" s="3027" t="s">
        <v>2919</v>
      </c>
      <c r="E265" s="863" t="s">
        <v>2920</v>
      </c>
      <c r="F265" s="466"/>
      <c r="G265" s="213"/>
      <c r="H265" s="466">
        <f t="shared" si="167"/>
        <v>0</v>
      </c>
      <c r="I265" s="213"/>
      <c r="J265" s="863"/>
      <c r="K265" s="445">
        <f t="shared" si="168"/>
        <v>45</v>
      </c>
      <c r="L265" s="984">
        <f>L266</f>
        <v>1</v>
      </c>
      <c r="M265" s="413"/>
      <c r="N265" s="984">
        <f>N266</f>
        <v>0</v>
      </c>
      <c r="O265" s="3156">
        <f>IF(Q265&gt;0,N265,"na")</f>
        <v>0</v>
      </c>
      <c r="P265" s="466">
        <f t="shared" ref="P265:S265" si="169">P266</f>
        <v>146967000</v>
      </c>
      <c r="Q265" s="466">
        <f t="shared" si="169"/>
        <v>146967000</v>
      </c>
      <c r="R265" s="466">
        <f t="shared" si="169"/>
        <v>0</v>
      </c>
      <c r="S265" s="466">
        <f t="shared" si="169"/>
        <v>0</v>
      </c>
      <c r="T265" s="2253">
        <f t="shared" ref="T265:U266" si="170">IF(Q265=0,0,R265/Q265)</f>
        <v>0</v>
      </c>
      <c r="U265" s="2253">
        <f t="shared" si="170"/>
        <v>0</v>
      </c>
      <c r="V265" s="453"/>
      <c r="W265" s="889"/>
      <c r="X265" s="2260"/>
      <c r="Y265" s="2841" t="s">
        <v>2453</v>
      </c>
    </row>
    <row r="266" spans="1:25" ht="54">
      <c r="A266" s="2876"/>
      <c r="B266" s="2876"/>
      <c r="C266" s="2876"/>
      <c r="D266" s="2876"/>
      <c r="E266" s="863" t="s">
        <v>2921</v>
      </c>
      <c r="F266" s="466"/>
      <c r="G266" s="213" t="s">
        <v>2918</v>
      </c>
      <c r="H266" s="466">
        <v>0</v>
      </c>
      <c r="I266" s="213" t="s">
        <v>2922</v>
      </c>
      <c r="J266" s="213" t="s">
        <v>253</v>
      </c>
      <c r="K266" s="445">
        <v>45</v>
      </c>
      <c r="L266" s="984">
        <v>1</v>
      </c>
      <c r="M266" s="413">
        <v>0</v>
      </c>
      <c r="N266" s="984">
        <v>0</v>
      </c>
      <c r="O266" s="2876"/>
      <c r="P266" s="466">
        <v>146967000</v>
      </c>
      <c r="Q266" s="466">
        <v>146967000</v>
      </c>
      <c r="R266" s="466">
        <v>0</v>
      </c>
      <c r="S266" s="466">
        <v>0</v>
      </c>
      <c r="T266" s="2253">
        <f t="shared" si="170"/>
        <v>0</v>
      </c>
      <c r="U266" s="2253">
        <f t="shared" si="170"/>
        <v>0</v>
      </c>
      <c r="V266" s="453"/>
      <c r="W266" s="889"/>
      <c r="X266" s="2260"/>
      <c r="Y266" s="3147"/>
    </row>
    <row r="267" spans="1:25" ht="51">
      <c r="A267" s="326"/>
      <c r="B267" s="240">
        <v>52050020014</v>
      </c>
      <c r="C267" s="240" t="s">
        <v>103</v>
      </c>
      <c r="D267" s="235" t="s">
        <v>2923</v>
      </c>
      <c r="E267" s="417"/>
      <c r="F267" s="466">
        <v>0</v>
      </c>
      <c r="G267" s="213"/>
      <c r="H267" s="466">
        <f>H268+H271</f>
        <v>0</v>
      </c>
      <c r="I267" s="213"/>
      <c r="J267" s="863"/>
      <c r="K267" s="445">
        <f>K268+K271</f>
        <v>4</v>
      </c>
      <c r="L267" s="984"/>
      <c r="M267" s="413"/>
      <c r="N267" s="984"/>
      <c r="O267" s="984"/>
      <c r="P267" s="466"/>
      <c r="Q267" s="466"/>
      <c r="R267" s="466"/>
      <c r="S267" s="466"/>
      <c r="T267" s="417"/>
      <c r="U267" s="417"/>
      <c r="V267" s="453"/>
      <c r="W267" s="889"/>
      <c r="X267" s="213"/>
      <c r="Y267" s="883"/>
    </row>
    <row r="268" spans="1:25">
      <c r="A268" s="2823">
        <v>4148</v>
      </c>
      <c r="B268" s="2823"/>
      <c r="C268" s="2823" t="s">
        <v>109</v>
      </c>
      <c r="D268" s="3027" t="s">
        <v>2924</v>
      </c>
      <c r="E268" s="863" t="s">
        <v>2925</v>
      </c>
      <c r="F268" s="466"/>
      <c r="G268" s="213"/>
      <c r="H268" s="466">
        <f>H270</f>
        <v>0</v>
      </c>
      <c r="I268" s="213"/>
      <c r="J268" s="863"/>
      <c r="K268" s="445">
        <f>K270</f>
        <v>1</v>
      </c>
      <c r="L268" s="984">
        <f>SUM(L269:L270)</f>
        <v>1</v>
      </c>
      <c r="M268" s="413"/>
      <c r="N268" s="984">
        <f>SUM(N269:N270)</f>
        <v>0.23</v>
      </c>
      <c r="O268" s="3156">
        <f>IF(Q268&gt;0,N268,"na")</f>
        <v>0.23</v>
      </c>
      <c r="P268" s="466">
        <f t="shared" ref="P268:S268" si="171">SUM(P269:P270)</f>
        <v>70000000</v>
      </c>
      <c r="Q268" s="466">
        <f t="shared" si="171"/>
        <v>70000000</v>
      </c>
      <c r="R268" s="466">
        <f t="shared" si="171"/>
        <v>31160000</v>
      </c>
      <c r="S268" s="466">
        <f t="shared" si="171"/>
        <v>18040000</v>
      </c>
      <c r="T268" s="2253">
        <f t="shared" ref="T268:U273" si="172">IF(Q268=0,0,R268/Q268)</f>
        <v>0.44514285714285712</v>
      </c>
      <c r="U268" s="2253">
        <f t="shared" si="172"/>
        <v>0.57894736842105265</v>
      </c>
      <c r="V268" s="453"/>
      <c r="W268" s="889"/>
      <c r="X268" s="2260"/>
      <c r="Y268" s="2841" t="s">
        <v>2453</v>
      </c>
    </row>
    <row r="269" spans="1:25" ht="81">
      <c r="A269" s="2875"/>
      <c r="B269" s="2875"/>
      <c r="C269" s="2875"/>
      <c r="D269" s="2875"/>
      <c r="E269" s="417" t="s">
        <v>2926</v>
      </c>
      <c r="F269" s="466"/>
      <c r="G269" s="213"/>
      <c r="H269" s="466"/>
      <c r="I269" s="213" t="s">
        <v>2927</v>
      </c>
      <c r="J269" s="213" t="s">
        <v>2468</v>
      </c>
      <c r="K269" s="445">
        <v>2</v>
      </c>
      <c r="L269" s="984">
        <v>0.7</v>
      </c>
      <c r="M269" s="413">
        <v>0</v>
      </c>
      <c r="N269" s="984">
        <v>0.23</v>
      </c>
      <c r="O269" s="2875"/>
      <c r="P269" s="466">
        <v>52643900</v>
      </c>
      <c r="Q269" s="466">
        <v>52643900</v>
      </c>
      <c r="R269" s="466">
        <v>31160000</v>
      </c>
      <c r="S269" s="466">
        <v>18040000</v>
      </c>
      <c r="T269" s="2253">
        <f t="shared" si="172"/>
        <v>0.5919014358738619</v>
      </c>
      <c r="U269" s="2253">
        <f t="shared" si="172"/>
        <v>0.57894736842105265</v>
      </c>
      <c r="V269" s="453">
        <v>45322</v>
      </c>
      <c r="W269" s="889">
        <v>45596</v>
      </c>
      <c r="X269" s="213" t="s">
        <v>5405</v>
      </c>
      <c r="Y269" s="3146"/>
    </row>
    <row r="270" spans="1:25" ht="67.5">
      <c r="A270" s="2876"/>
      <c r="B270" s="2876"/>
      <c r="C270" s="2876"/>
      <c r="D270" s="2876"/>
      <c r="E270" s="417" t="s">
        <v>2928</v>
      </c>
      <c r="F270" s="466"/>
      <c r="G270" s="213" t="s">
        <v>2923</v>
      </c>
      <c r="H270" s="466">
        <v>0</v>
      </c>
      <c r="I270" s="213" t="s">
        <v>2929</v>
      </c>
      <c r="J270" s="213" t="s">
        <v>2930</v>
      </c>
      <c r="K270" s="445">
        <v>1</v>
      </c>
      <c r="L270" s="984">
        <v>0.3</v>
      </c>
      <c r="M270" s="413">
        <v>0</v>
      </c>
      <c r="N270" s="984">
        <v>0</v>
      </c>
      <c r="O270" s="2876"/>
      <c r="P270" s="466">
        <v>17356100</v>
      </c>
      <c r="Q270" s="466">
        <v>17356100</v>
      </c>
      <c r="R270" s="466">
        <v>0</v>
      </c>
      <c r="S270" s="466">
        <v>0</v>
      </c>
      <c r="T270" s="2253">
        <f t="shared" si="172"/>
        <v>0</v>
      </c>
      <c r="U270" s="2253">
        <f t="shared" si="172"/>
        <v>0</v>
      </c>
      <c r="V270" s="453"/>
      <c r="W270" s="889"/>
      <c r="X270" s="213"/>
      <c r="Y270" s="3147"/>
    </row>
    <row r="271" spans="1:25">
      <c r="A271" s="2823">
        <v>4148</v>
      </c>
      <c r="B271" s="2823"/>
      <c r="C271" s="2823" t="s">
        <v>109</v>
      </c>
      <c r="D271" s="3027" t="s">
        <v>2931</v>
      </c>
      <c r="E271" s="863" t="s">
        <v>2932</v>
      </c>
      <c r="F271" s="466"/>
      <c r="G271" s="213"/>
      <c r="H271" s="466">
        <f>H272</f>
        <v>0</v>
      </c>
      <c r="I271" s="213"/>
      <c r="J271" s="863"/>
      <c r="K271" s="445">
        <f>K272</f>
        <v>3</v>
      </c>
      <c r="L271" s="984">
        <f>SUM(L272:L273)</f>
        <v>1</v>
      </c>
      <c r="M271" s="413"/>
      <c r="N271" s="984">
        <f>SUM(N272:N273)</f>
        <v>0</v>
      </c>
      <c r="O271" s="3156">
        <f>IF(Q271&gt;0,N271,"na")</f>
        <v>0</v>
      </c>
      <c r="P271" s="466">
        <f t="shared" ref="P271:S271" si="173">SUM(P272:P273)</f>
        <v>1163400954</v>
      </c>
      <c r="Q271" s="466">
        <f t="shared" si="173"/>
        <v>1163400954</v>
      </c>
      <c r="R271" s="466">
        <f t="shared" si="173"/>
        <v>166200136</v>
      </c>
      <c r="S271" s="466">
        <f t="shared" si="173"/>
        <v>0</v>
      </c>
      <c r="T271" s="2253">
        <f t="shared" si="172"/>
        <v>0.14285714261155746</v>
      </c>
      <c r="U271" s="2253">
        <f t="shared" si="172"/>
        <v>0</v>
      </c>
      <c r="V271" s="453"/>
      <c r="W271" s="889"/>
      <c r="X271" s="2260"/>
      <c r="Y271" s="2841" t="s">
        <v>2453</v>
      </c>
    </row>
    <row r="272" spans="1:25" ht="67.5">
      <c r="A272" s="2875"/>
      <c r="B272" s="2875"/>
      <c r="C272" s="2875"/>
      <c r="D272" s="2875"/>
      <c r="E272" s="417" t="s">
        <v>2933</v>
      </c>
      <c r="F272" s="466"/>
      <c r="G272" s="213" t="s">
        <v>2923</v>
      </c>
      <c r="H272" s="466">
        <v>0</v>
      </c>
      <c r="I272" s="213" t="s">
        <v>2934</v>
      </c>
      <c r="J272" s="213" t="s">
        <v>2930</v>
      </c>
      <c r="K272" s="445">
        <v>3</v>
      </c>
      <c r="L272" s="984">
        <v>0.74</v>
      </c>
      <c r="M272" s="413">
        <v>0</v>
      </c>
      <c r="N272" s="984">
        <v>0</v>
      </c>
      <c r="O272" s="2875"/>
      <c r="P272" s="466">
        <v>860921532</v>
      </c>
      <c r="Q272" s="466">
        <v>860921532</v>
      </c>
      <c r="R272" s="466">
        <v>122988790</v>
      </c>
      <c r="S272" s="466">
        <v>0</v>
      </c>
      <c r="T272" s="2253">
        <f t="shared" si="172"/>
        <v>0.14285714252527257</v>
      </c>
      <c r="U272" s="2253">
        <f t="shared" si="172"/>
        <v>0</v>
      </c>
      <c r="V272" s="453">
        <v>45470</v>
      </c>
      <c r="W272" s="889">
        <v>45504</v>
      </c>
      <c r="X272" s="213" t="s">
        <v>5392</v>
      </c>
      <c r="Y272" s="3146"/>
    </row>
    <row r="273" spans="1:25" ht="54">
      <c r="A273" s="2876"/>
      <c r="B273" s="2876"/>
      <c r="C273" s="2876"/>
      <c r="D273" s="2876"/>
      <c r="E273" s="417" t="s">
        <v>2935</v>
      </c>
      <c r="F273" s="466"/>
      <c r="G273" s="213"/>
      <c r="H273" s="466"/>
      <c r="I273" s="213" t="s">
        <v>2936</v>
      </c>
      <c r="J273" s="213" t="s">
        <v>2468</v>
      </c>
      <c r="K273" s="445">
        <v>32</v>
      </c>
      <c r="L273" s="984">
        <v>0.26</v>
      </c>
      <c r="M273" s="413">
        <v>0</v>
      </c>
      <c r="N273" s="984">
        <v>0</v>
      </c>
      <c r="O273" s="2876"/>
      <c r="P273" s="466">
        <v>302479422</v>
      </c>
      <c r="Q273" s="466">
        <v>302479422</v>
      </c>
      <c r="R273" s="466">
        <v>43211346</v>
      </c>
      <c r="S273" s="466">
        <v>0</v>
      </c>
      <c r="T273" s="2253">
        <f t="shared" si="172"/>
        <v>0.14285714285714285</v>
      </c>
      <c r="U273" s="2253">
        <f t="shared" si="172"/>
        <v>0</v>
      </c>
      <c r="V273" s="453">
        <v>45470</v>
      </c>
      <c r="W273" s="889">
        <v>45504</v>
      </c>
      <c r="X273" s="213" t="s">
        <v>5392</v>
      </c>
      <c r="Y273" s="3147"/>
    </row>
    <row r="274" spans="1:25" ht="31.5">
      <c r="A274" s="2294"/>
      <c r="B274" s="2295">
        <v>54</v>
      </c>
      <c r="C274" s="2295" t="s">
        <v>100</v>
      </c>
      <c r="D274" s="2296" t="s">
        <v>187</v>
      </c>
      <c r="E274" s="417"/>
      <c r="F274" s="466"/>
      <c r="G274" s="213"/>
      <c r="H274" s="466"/>
      <c r="I274" s="213"/>
      <c r="J274" s="213"/>
      <c r="K274" s="445"/>
      <c r="L274" s="984"/>
      <c r="M274" s="413"/>
      <c r="N274" s="984"/>
      <c r="O274" s="984"/>
      <c r="P274" s="466"/>
      <c r="Q274" s="466"/>
      <c r="R274" s="466"/>
      <c r="S274" s="466"/>
      <c r="T274" s="2283"/>
      <c r="U274" s="2283"/>
      <c r="V274" s="453"/>
      <c r="W274" s="889"/>
      <c r="X274" s="213"/>
      <c r="Y274" s="2297"/>
    </row>
    <row r="275" spans="1:25">
      <c r="A275" s="2294"/>
      <c r="B275" s="1011">
        <v>5402</v>
      </c>
      <c r="C275" s="1011" t="s">
        <v>101</v>
      </c>
      <c r="D275" s="2298" t="s">
        <v>104</v>
      </c>
      <c r="E275" s="417"/>
      <c r="F275" s="466"/>
      <c r="G275" s="213"/>
      <c r="H275" s="466"/>
      <c r="I275" s="213"/>
      <c r="J275" s="213"/>
      <c r="K275" s="445"/>
      <c r="L275" s="984"/>
      <c r="M275" s="413"/>
      <c r="N275" s="984"/>
      <c r="O275" s="984"/>
      <c r="P275" s="466"/>
      <c r="Q275" s="466"/>
      <c r="R275" s="466"/>
      <c r="S275" s="466"/>
      <c r="T275" s="2283"/>
      <c r="U275" s="2283"/>
      <c r="V275" s="453"/>
      <c r="W275" s="889"/>
      <c r="X275" s="213"/>
      <c r="Y275" s="2297"/>
    </row>
    <row r="276" spans="1:25" ht="33">
      <c r="A276" s="2294"/>
      <c r="B276" s="1011">
        <v>5402001</v>
      </c>
      <c r="C276" s="1011" t="s">
        <v>2937</v>
      </c>
      <c r="D276" s="2298" t="s">
        <v>105</v>
      </c>
      <c r="E276" s="417"/>
      <c r="F276" s="466"/>
      <c r="G276" s="213"/>
      <c r="H276" s="466"/>
      <c r="I276" s="213"/>
      <c r="J276" s="213"/>
      <c r="K276" s="445"/>
      <c r="L276" s="984"/>
      <c r="M276" s="413"/>
      <c r="N276" s="984"/>
      <c r="O276" s="984"/>
      <c r="P276" s="466"/>
      <c r="Q276" s="466"/>
      <c r="R276" s="466"/>
      <c r="S276" s="466"/>
      <c r="T276" s="2283"/>
      <c r="U276" s="2283"/>
      <c r="V276" s="453"/>
      <c r="W276" s="889"/>
      <c r="X276" s="213"/>
      <c r="Y276" s="2297"/>
    </row>
    <row r="277" spans="1:25" ht="38.25">
      <c r="A277" s="326"/>
      <c r="B277" s="240">
        <v>54020010006</v>
      </c>
      <c r="C277" s="240" t="s">
        <v>103</v>
      </c>
      <c r="D277" s="235" t="s">
        <v>2938</v>
      </c>
      <c r="E277" s="417"/>
      <c r="F277" s="466">
        <v>0</v>
      </c>
      <c r="G277" s="213"/>
      <c r="H277" s="466">
        <f>H281</f>
        <v>0</v>
      </c>
      <c r="I277" s="213"/>
      <c r="J277" s="863"/>
      <c r="K277" s="445">
        <f>K281</f>
        <v>1</v>
      </c>
      <c r="L277" s="984"/>
      <c r="M277" s="413"/>
      <c r="N277" s="984"/>
      <c r="O277" s="984"/>
      <c r="P277" s="466"/>
      <c r="Q277" s="466"/>
      <c r="R277" s="466"/>
      <c r="S277" s="466"/>
      <c r="T277" s="417"/>
      <c r="U277" s="417"/>
      <c r="V277" s="453"/>
      <c r="W277" s="889"/>
      <c r="X277" s="213"/>
      <c r="Y277" s="883"/>
    </row>
    <row r="278" spans="1:25">
      <c r="A278" s="2823">
        <v>4148</v>
      </c>
      <c r="B278" s="2823"/>
      <c r="C278" s="2823" t="s">
        <v>109</v>
      </c>
      <c r="D278" s="3027" t="s">
        <v>2939</v>
      </c>
      <c r="E278" s="863" t="s">
        <v>2940</v>
      </c>
      <c r="F278" s="466"/>
      <c r="G278" s="213"/>
      <c r="H278" s="466">
        <f>H279</f>
        <v>0</v>
      </c>
      <c r="I278" s="213"/>
      <c r="J278" s="863"/>
      <c r="K278" s="445">
        <v>1</v>
      </c>
      <c r="L278" s="984">
        <f>SUM(L279:L280)</f>
        <v>1</v>
      </c>
      <c r="M278" s="413"/>
      <c r="N278" s="984">
        <f>SUM(N279:N280)</f>
        <v>0.42699999999999999</v>
      </c>
      <c r="O278" s="3156">
        <f>IF(Q278&gt;0,N278,"na")</f>
        <v>0.42699999999999999</v>
      </c>
      <c r="P278" s="466">
        <f t="shared" ref="P278:S278" si="174">SUM(P279:P280)</f>
        <v>558123600</v>
      </c>
      <c r="Q278" s="466">
        <f t="shared" si="174"/>
        <v>558123600</v>
      </c>
      <c r="R278" s="466">
        <f t="shared" si="174"/>
        <v>427660000</v>
      </c>
      <c r="S278" s="466">
        <f t="shared" si="174"/>
        <v>251892000</v>
      </c>
      <c r="T278" s="2253">
        <f t="shared" ref="T278:U283" si="175">IF(Q278=0,0,R278/Q278)</f>
        <v>0.76624604299119403</v>
      </c>
      <c r="U278" s="2253">
        <f t="shared" si="175"/>
        <v>0.58900060795959408</v>
      </c>
      <c r="V278" s="453"/>
      <c r="W278" s="889"/>
      <c r="X278" s="2260"/>
      <c r="Y278" s="2841" t="s">
        <v>2474</v>
      </c>
    </row>
    <row r="279" spans="1:25" ht="202.5">
      <c r="A279" s="2875"/>
      <c r="B279" s="2875"/>
      <c r="C279" s="2875"/>
      <c r="D279" s="2875"/>
      <c r="E279" s="417" t="s">
        <v>2941</v>
      </c>
      <c r="F279" s="466"/>
      <c r="G279" s="213" t="s">
        <v>2938</v>
      </c>
      <c r="H279" s="466">
        <v>0</v>
      </c>
      <c r="I279" s="213" t="s">
        <v>2942</v>
      </c>
      <c r="J279" s="213" t="s">
        <v>2631</v>
      </c>
      <c r="K279" s="445">
        <v>72</v>
      </c>
      <c r="L279" s="984">
        <v>0.85</v>
      </c>
      <c r="M279" s="2299">
        <v>31</v>
      </c>
      <c r="N279" s="984">
        <v>0.34699999999999998</v>
      </c>
      <c r="O279" s="2875"/>
      <c r="P279" s="466">
        <v>473214976</v>
      </c>
      <c r="Q279" s="466">
        <v>473214976</v>
      </c>
      <c r="R279" s="466">
        <v>356835000</v>
      </c>
      <c r="S279" s="466">
        <v>201991000</v>
      </c>
      <c r="T279" s="2253">
        <f t="shared" si="175"/>
        <v>0.75406531512645958</v>
      </c>
      <c r="U279" s="2253">
        <f t="shared" si="175"/>
        <v>0.56606274608712714</v>
      </c>
      <c r="V279" s="453">
        <v>45322</v>
      </c>
      <c r="W279" s="889">
        <v>45596</v>
      </c>
      <c r="X279" s="1035" t="s">
        <v>5406</v>
      </c>
      <c r="Y279" s="3146"/>
    </row>
    <row r="280" spans="1:25" ht="162">
      <c r="A280" s="2876"/>
      <c r="B280" s="2876"/>
      <c r="C280" s="2876"/>
      <c r="D280" s="2876"/>
      <c r="E280" s="417" t="s">
        <v>2943</v>
      </c>
      <c r="F280" s="466"/>
      <c r="G280" s="213"/>
      <c r="H280" s="466"/>
      <c r="I280" s="213" t="s">
        <v>2944</v>
      </c>
      <c r="J280" s="213" t="s">
        <v>2539</v>
      </c>
      <c r="K280" s="445">
        <v>12</v>
      </c>
      <c r="L280" s="984">
        <v>0.15</v>
      </c>
      <c r="M280" s="413">
        <v>6</v>
      </c>
      <c r="N280" s="984">
        <v>0.08</v>
      </c>
      <c r="O280" s="2876"/>
      <c r="P280" s="466">
        <v>84908624</v>
      </c>
      <c r="Q280" s="466">
        <v>84908624</v>
      </c>
      <c r="R280" s="466">
        <v>70825000</v>
      </c>
      <c r="S280" s="466">
        <v>49901000</v>
      </c>
      <c r="T280" s="2253">
        <f t="shared" si="175"/>
        <v>0.83413199582647812</v>
      </c>
      <c r="U280" s="2253">
        <f t="shared" si="175"/>
        <v>0.70456759618778675</v>
      </c>
      <c r="V280" s="453">
        <v>45322</v>
      </c>
      <c r="W280" s="889">
        <v>45596</v>
      </c>
      <c r="X280" s="213" t="s">
        <v>5407</v>
      </c>
      <c r="Y280" s="3147"/>
    </row>
    <row r="281" spans="1:25">
      <c r="A281" s="2823">
        <v>4148</v>
      </c>
      <c r="B281" s="2823"/>
      <c r="C281" s="2823" t="s">
        <v>109</v>
      </c>
      <c r="D281" s="3027" t="s">
        <v>2945</v>
      </c>
      <c r="E281" s="863" t="s">
        <v>2946</v>
      </c>
      <c r="F281" s="466"/>
      <c r="G281" s="213"/>
      <c r="H281" s="466">
        <f>H282</f>
        <v>0</v>
      </c>
      <c r="I281" s="213"/>
      <c r="J281" s="863"/>
      <c r="K281" s="445">
        <v>1</v>
      </c>
      <c r="L281" s="984">
        <f>SUM(L282:L283)</f>
        <v>1</v>
      </c>
      <c r="M281" s="413"/>
      <c r="N281" s="984">
        <f>SUM(N282:N283)</f>
        <v>0.35</v>
      </c>
      <c r="O281" s="3156">
        <f>IF(Q281&gt;0,N281,"na")</f>
        <v>0.35</v>
      </c>
      <c r="P281" s="466">
        <f t="shared" ref="P281:S281" si="176">SUM(P282:P283)</f>
        <v>4002194404</v>
      </c>
      <c r="Q281" s="466">
        <f t="shared" si="176"/>
        <v>5381564667</v>
      </c>
      <c r="R281" s="466">
        <f t="shared" si="176"/>
        <v>5096802753</v>
      </c>
      <c r="S281" s="466">
        <f t="shared" si="176"/>
        <v>2670914750</v>
      </c>
      <c r="T281" s="2253">
        <f t="shared" si="175"/>
        <v>0.94708566529987592</v>
      </c>
      <c r="U281" s="2253">
        <f t="shared" si="175"/>
        <v>0.52403729934965371</v>
      </c>
      <c r="V281" s="453"/>
      <c r="W281" s="889"/>
      <c r="X281" s="2260"/>
      <c r="Y281" s="2841" t="s">
        <v>2875</v>
      </c>
    </row>
    <row r="282" spans="1:25" ht="189">
      <c r="A282" s="2875"/>
      <c r="B282" s="2875"/>
      <c r="C282" s="2875"/>
      <c r="D282" s="2875"/>
      <c r="E282" s="417" t="s">
        <v>2947</v>
      </c>
      <c r="F282" s="466"/>
      <c r="G282" s="3027" t="s">
        <v>2938</v>
      </c>
      <c r="H282" s="3159">
        <v>0</v>
      </c>
      <c r="I282" s="213" t="s">
        <v>2948</v>
      </c>
      <c r="J282" s="213" t="s">
        <v>1163</v>
      </c>
      <c r="K282" s="445">
        <v>1</v>
      </c>
      <c r="L282" s="984">
        <v>0.35</v>
      </c>
      <c r="M282" s="413">
        <v>0</v>
      </c>
      <c r="N282" s="984">
        <v>0.16</v>
      </c>
      <c r="O282" s="2875"/>
      <c r="P282" s="466">
        <v>523174425</v>
      </c>
      <c r="Q282" s="466">
        <v>1192505308</v>
      </c>
      <c r="R282" s="466">
        <v>1105116000</v>
      </c>
      <c r="S282" s="466">
        <v>474018000</v>
      </c>
      <c r="T282" s="2253">
        <f t="shared" si="175"/>
        <v>0.9267178876154738</v>
      </c>
      <c r="U282" s="2253">
        <f t="shared" si="175"/>
        <v>0.42893053760872163</v>
      </c>
      <c r="V282" s="889">
        <v>45320</v>
      </c>
      <c r="W282" s="889">
        <v>45596</v>
      </c>
      <c r="X282" s="213" t="s">
        <v>5408</v>
      </c>
      <c r="Y282" s="3146"/>
    </row>
    <row r="283" spans="1:25" ht="189">
      <c r="A283" s="2876"/>
      <c r="B283" s="2876"/>
      <c r="C283" s="2876"/>
      <c r="D283" s="2876"/>
      <c r="E283" s="417" t="s">
        <v>2949</v>
      </c>
      <c r="F283" s="466"/>
      <c r="G283" s="2876"/>
      <c r="H283" s="2876"/>
      <c r="I283" s="213" t="s">
        <v>2950</v>
      </c>
      <c r="J283" s="213" t="s">
        <v>2428</v>
      </c>
      <c r="K283" s="445">
        <v>1</v>
      </c>
      <c r="L283" s="984">
        <v>0.65</v>
      </c>
      <c r="M283" s="413">
        <v>0</v>
      </c>
      <c r="N283" s="984">
        <v>0.19</v>
      </c>
      <c r="O283" s="2876"/>
      <c r="P283" s="466">
        <v>3479019979</v>
      </c>
      <c r="Q283" s="466">
        <v>4189059359</v>
      </c>
      <c r="R283" s="466">
        <v>3991686753</v>
      </c>
      <c r="S283" s="466">
        <v>2196896750</v>
      </c>
      <c r="T283" s="2253">
        <f t="shared" si="175"/>
        <v>0.95288378867777224</v>
      </c>
      <c r="U283" s="2253">
        <f t="shared" si="175"/>
        <v>0.55036802383075178</v>
      </c>
      <c r="V283" s="889">
        <v>45316</v>
      </c>
      <c r="W283" s="889">
        <v>45504</v>
      </c>
      <c r="X283" s="213" t="s">
        <v>5409</v>
      </c>
      <c r="Y283" s="3147"/>
    </row>
    <row r="284" spans="1:25" ht="63.75">
      <c r="A284" s="326"/>
      <c r="B284" s="240">
        <v>54020010029</v>
      </c>
      <c r="C284" s="240" t="s">
        <v>103</v>
      </c>
      <c r="D284" s="235" t="s">
        <v>2951</v>
      </c>
      <c r="E284" s="417"/>
      <c r="F284" s="466">
        <v>0</v>
      </c>
      <c r="G284" s="213"/>
      <c r="H284" s="466">
        <f t="shared" ref="H284:H285" si="177">H285</f>
        <v>0</v>
      </c>
      <c r="I284" s="213"/>
      <c r="J284" s="863"/>
      <c r="K284" s="445">
        <f t="shared" ref="K284:K285" si="178">K285</f>
        <v>1</v>
      </c>
      <c r="L284" s="984"/>
      <c r="M284" s="413"/>
      <c r="N284" s="984"/>
      <c r="O284" s="984"/>
      <c r="P284" s="466"/>
      <c r="Q284" s="466"/>
      <c r="R284" s="466"/>
      <c r="S284" s="466"/>
      <c r="T284" s="417"/>
      <c r="U284" s="417"/>
      <c r="V284" s="453"/>
      <c r="W284" s="889"/>
      <c r="X284" s="213"/>
      <c r="Y284" s="883"/>
    </row>
    <row r="285" spans="1:25">
      <c r="A285" s="2823">
        <v>4148</v>
      </c>
      <c r="B285" s="3158"/>
      <c r="C285" s="2823" t="s">
        <v>109</v>
      </c>
      <c r="D285" s="3027" t="s">
        <v>2952</v>
      </c>
      <c r="E285" s="863" t="s">
        <v>2953</v>
      </c>
      <c r="F285" s="466"/>
      <c r="G285" s="213"/>
      <c r="H285" s="466">
        <f t="shared" si="177"/>
        <v>0</v>
      </c>
      <c r="I285" s="213"/>
      <c r="J285" s="863"/>
      <c r="K285" s="445">
        <f t="shared" si="178"/>
        <v>1</v>
      </c>
      <c r="L285" s="984">
        <f>L286</f>
        <v>1</v>
      </c>
      <c r="M285" s="413"/>
      <c r="N285" s="984">
        <f>N286</f>
        <v>0.33600000000000002</v>
      </c>
      <c r="O285" s="3156">
        <f>IF(Q285&gt;0,N285,"na")</f>
        <v>0.33600000000000002</v>
      </c>
      <c r="P285" s="466">
        <f t="shared" ref="P285:S285" si="179">P286</f>
        <v>120000000</v>
      </c>
      <c r="Q285" s="466">
        <f t="shared" si="179"/>
        <v>120000000</v>
      </c>
      <c r="R285" s="466">
        <f t="shared" si="179"/>
        <v>92231068</v>
      </c>
      <c r="S285" s="466">
        <f t="shared" si="179"/>
        <v>20924000</v>
      </c>
      <c r="T285" s="2253">
        <f t="shared" ref="T285:U286" si="180">IF(Q285=0,0,R285/Q285)</f>
        <v>0.76859223333333337</v>
      </c>
      <c r="U285" s="2253">
        <f t="shared" si="180"/>
        <v>0.22686498653577339</v>
      </c>
      <c r="V285" s="453"/>
      <c r="W285" s="889"/>
      <c r="X285" s="2260"/>
      <c r="Y285" s="2841" t="s">
        <v>2474</v>
      </c>
    </row>
    <row r="286" spans="1:25" ht="148.5">
      <c r="A286" s="2876"/>
      <c r="B286" s="2876"/>
      <c r="C286" s="2876"/>
      <c r="D286" s="2876"/>
      <c r="E286" s="863" t="s">
        <v>2954</v>
      </c>
      <c r="F286" s="466"/>
      <c r="G286" s="213" t="s">
        <v>2951</v>
      </c>
      <c r="H286" s="466">
        <v>0</v>
      </c>
      <c r="I286" s="213" t="s">
        <v>2955</v>
      </c>
      <c r="J286" s="213" t="s">
        <v>2956</v>
      </c>
      <c r="K286" s="445">
        <v>1</v>
      </c>
      <c r="L286" s="984">
        <v>1</v>
      </c>
      <c r="M286" s="413">
        <v>0</v>
      </c>
      <c r="N286" s="984">
        <v>0.33600000000000002</v>
      </c>
      <c r="O286" s="2876"/>
      <c r="P286" s="466">
        <v>120000000</v>
      </c>
      <c r="Q286" s="466">
        <v>120000000</v>
      </c>
      <c r="R286" s="466">
        <v>92231068</v>
      </c>
      <c r="S286" s="466">
        <v>20924000</v>
      </c>
      <c r="T286" s="2253">
        <f t="shared" si="180"/>
        <v>0.76859223333333337</v>
      </c>
      <c r="U286" s="2253">
        <f t="shared" si="180"/>
        <v>0.22686498653577339</v>
      </c>
      <c r="V286" s="453">
        <v>45350</v>
      </c>
      <c r="W286" s="889">
        <v>45596</v>
      </c>
      <c r="X286" s="2260" t="s">
        <v>5410</v>
      </c>
      <c r="Y286" s="3147"/>
    </row>
    <row r="287" spans="1:25" ht="49.5">
      <c r="A287" s="326"/>
      <c r="B287" s="252">
        <v>5402003</v>
      </c>
      <c r="C287" s="252" t="s">
        <v>2937</v>
      </c>
      <c r="D287" s="434" t="s">
        <v>240</v>
      </c>
      <c r="E287" s="417"/>
      <c r="F287" s="466"/>
      <c r="G287" s="213"/>
      <c r="H287" s="466"/>
      <c r="I287" s="213"/>
      <c r="J287" s="863"/>
      <c r="K287" s="445"/>
      <c r="L287" s="984"/>
      <c r="M287" s="413"/>
      <c r="N287" s="984"/>
      <c r="O287" s="984"/>
      <c r="P287" s="466"/>
      <c r="Q287" s="466"/>
      <c r="R287" s="466"/>
      <c r="S287" s="466"/>
      <c r="T287" s="417"/>
      <c r="U287" s="417"/>
      <c r="V287" s="453"/>
      <c r="W287" s="889"/>
      <c r="X287" s="213"/>
      <c r="Y287" s="883"/>
    </row>
    <row r="288" spans="1:25" ht="38.25">
      <c r="A288" s="326"/>
      <c r="B288" s="240">
        <v>54020030018</v>
      </c>
      <c r="C288" s="240" t="s">
        <v>103</v>
      </c>
      <c r="D288" s="235" t="s">
        <v>2957</v>
      </c>
      <c r="E288" s="417"/>
      <c r="F288" s="466">
        <v>0</v>
      </c>
      <c r="G288" s="213"/>
      <c r="H288" s="466">
        <f t="shared" ref="H288:H289" si="181">H289</f>
        <v>0</v>
      </c>
      <c r="I288" s="213"/>
      <c r="J288" s="863"/>
      <c r="K288" s="445">
        <f>K289</f>
        <v>1</v>
      </c>
      <c r="L288" s="984"/>
      <c r="M288" s="413"/>
      <c r="N288" s="984"/>
      <c r="O288" s="984"/>
      <c r="P288" s="466"/>
      <c r="Q288" s="466"/>
      <c r="R288" s="466"/>
      <c r="S288" s="466"/>
      <c r="T288" s="417"/>
      <c r="U288" s="417"/>
      <c r="V288" s="453"/>
      <c r="W288" s="889"/>
      <c r="X288" s="213"/>
      <c r="Y288" s="2297"/>
    </row>
    <row r="289" spans="1:25">
      <c r="A289" s="2823">
        <v>4148</v>
      </c>
      <c r="B289" s="2823"/>
      <c r="C289" s="2823" t="s">
        <v>109</v>
      </c>
      <c r="D289" s="3027" t="s">
        <v>2958</v>
      </c>
      <c r="E289" s="863" t="s">
        <v>2959</v>
      </c>
      <c r="F289" s="466"/>
      <c r="G289" s="213"/>
      <c r="H289" s="466">
        <f t="shared" si="181"/>
        <v>0</v>
      </c>
      <c r="I289" s="213"/>
      <c r="J289" s="863"/>
      <c r="K289" s="445">
        <v>1</v>
      </c>
      <c r="L289" s="984">
        <f>SUM(L290:L291)</f>
        <v>1</v>
      </c>
      <c r="M289" s="413"/>
      <c r="N289" s="984">
        <f>SUM(N290:N291)</f>
        <v>0</v>
      </c>
      <c r="O289" s="3156">
        <f>IF(Q289&gt;0,N289,"na")</f>
        <v>0</v>
      </c>
      <c r="P289" s="466">
        <f t="shared" ref="P289:S289" si="182">SUM(P290:P291)</f>
        <v>250705148</v>
      </c>
      <c r="Q289" s="466">
        <f t="shared" si="182"/>
        <v>250705148</v>
      </c>
      <c r="R289" s="466">
        <f t="shared" si="182"/>
        <v>0</v>
      </c>
      <c r="S289" s="466">
        <f t="shared" si="182"/>
        <v>0</v>
      </c>
      <c r="T289" s="2253">
        <f t="shared" ref="T289:U291" si="183">IF(Q289=0,0,R289/Q289)</f>
        <v>0</v>
      </c>
      <c r="U289" s="2253">
        <f t="shared" si="183"/>
        <v>0</v>
      </c>
      <c r="V289" s="453"/>
      <c r="W289" s="889"/>
      <c r="X289" s="2260"/>
      <c r="Y289" s="2841" t="s">
        <v>2875</v>
      </c>
    </row>
    <row r="290" spans="1:25" ht="54">
      <c r="A290" s="2875"/>
      <c r="B290" s="2875"/>
      <c r="C290" s="2875"/>
      <c r="D290" s="2875"/>
      <c r="E290" s="417" t="s">
        <v>2960</v>
      </c>
      <c r="F290" s="466"/>
      <c r="G290" s="3027" t="s">
        <v>2957</v>
      </c>
      <c r="H290" s="3159">
        <v>0</v>
      </c>
      <c r="I290" s="213" t="s">
        <v>2961</v>
      </c>
      <c r="J290" s="213" t="s">
        <v>2962</v>
      </c>
      <c r="K290" s="445">
        <v>1</v>
      </c>
      <c r="L290" s="984">
        <v>0.57999999999999996</v>
      </c>
      <c r="M290" s="413">
        <v>0</v>
      </c>
      <c r="N290" s="984">
        <v>0</v>
      </c>
      <c r="O290" s="2875"/>
      <c r="P290" s="466">
        <v>247705148</v>
      </c>
      <c r="Q290" s="466">
        <v>247705148</v>
      </c>
      <c r="R290" s="466">
        <v>0</v>
      </c>
      <c r="S290" s="466">
        <v>0</v>
      </c>
      <c r="T290" s="2253">
        <f t="shared" si="183"/>
        <v>0</v>
      </c>
      <c r="U290" s="2253">
        <f t="shared" si="183"/>
        <v>0</v>
      </c>
      <c r="V290" s="453"/>
      <c r="W290" s="889"/>
      <c r="X290" s="213"/>
      <c r="Y290" s="3146"/>
    </row>
    <row r="291" spans="1:25" ht="40.5">
      <c r="A291" s="2876"/>
      <c r="B291" s="2876"/>
      <c r="C291" s="2876"/>
      <c r="D291" s="2876"/>
      <c r="E291" s="417" t="s">
        <v>2963</v>
      </c>
      <c r="F291" s="466"/>
      <c r="G291" s="2876"/>
      <c r="H291" s="2876"/>
      <c r="I291" s="213" t="s">
        <v>2964</v>
      </c>
      <c r="J291" s="213" t="s">
        <v>2965</v>
      </c>
      <c r="K291" s="445">
        <v>1</v>
      </c>
      <c r="L291" s="984">
        <v>0.42</v>
      </c>
      <c r="M291" s="413">
        <v>0</v>
      </c>
      <c r="N291" s="984">
        <v>0</v>
      </c>
      <c r="O291" s="2876"/>
      <c r="P291" s="466">
        <v>3000000</v>
      </c>
      <c r="Q291" s="466">
        <v>3000000</v>
      </c>
      <c r="R291" s="466">
        <v>0</v>
      </c>
      <c r="S291" s="466">
        <v>0</v>
      </c>
      <c r="T291" s="2253">
        <f t="shared" si="183"/>
        <v>0</v>
      </c>
      <c r="U291" s="2253">
        <f t="shared" si="183"/>
        <v>0</v>
      </c>
      <c r="V291" s="453"/>
      <c r="W291" s="889"/>
      <c r="X291" s="213"/>
      <c r="Y291" s="3147"/>
    </row>
    <row r="292" spans="1:25" ht="33">
      <c r="A292" s="326"/>
      <c r="B292" s="252">
        <v>5403</v>
      </c>
      <c r="C292" s="252" t="s">
        <v>101</v>
      </c>
      <c r="D292" s="434" t="s">
        <v>480</v>
      </c>
      <c r="E292" s="417"/>
      <c r="F292" s="466"/>
      <c r="G292" s="213"/>
      <c r="H292" s="466"/>
      <c r="I292" s="213"/>
      <c r="J292" s="863"/>
      <c r="K292" s="445"/>
      <c r="L292" s="984"/>
      <c r="M292" s="413"/>
      <c r="N292" s="984"/>
      <c r="O292" s="984"/>
      <c r="P292" s="466"/>
      <c r="Q292" s="466"/>
      <c r="R292" s="466"/>
      <c r="S292" s="466"/>
      <c r="T292" s="417"/>
      <c r="U292" s="417"/>
      <c r="V292" s="453"/>
      <c r="W292" s="889"/>
      <c r="X292" s="213"/>
      <c r="Y292" s="883"/>
    </row>
    <row r="293" spans="1:25">
      <c r="A293" s="326"/>
      <c r="B293" s="252">
        <v>5403001</v>
      </c>
      <c r="C293" s="252" t="s">
        <v>102</v>
      </c>
      <c r="D293" s="434" t="s">
        <v>2966</v>
      </c>
      <c r="E293" s="417"/>
      <c r="F293" s="466"/>
      <c r="G293" s="213"/>
      <c r="H293" s="466"/>
      <c r="I293" s="213"/>
      <c r="J293" s="863"/>
      <c r="K293" s="445"/>
      <c r="L293" s="984"/>
      <c r="M293" s="413"/>
      <c r="N293" s="984"/>
      <c r="O293" s="984"/>
      <c r="P293" s="466"/>
      <c r="Q293" s="466"/>
      <c r="R293" s="466"/>
      <c r="S293" s="466"/>
      <c r="T293" s="417"/>
      <c r="U293" s="417"/>
      <c r="V293" s="453"/>
      <c r="W293" s="889"/>
      <c r="X293" s="213"/>
      <c r="Y293" s="883"/>
    </row>
    <row r="294" spans="1:25" ht="25.5">
      <c r="A294" s="326"/>
      <c r="B294" s="240">
        <v>54030010008</v>
      </c>
      <c r="C294" s="240" t="s">
        <v>103</v>
      </c>
      <c r="D294" s="235" t="s">
        <v>2967</v>
      </c>
      <c r="E294" s="417"/>
      <c r="F294" s="466">
        <v>0</v>
      </c>
      <c r="G294" s="213"/>
      <c r="H294" s="466">
        <f t="shared" ref="H294:H295" si="184">H295</f>
        <v>0</v>
      </c>
      <c r="I294" s="213"/>
      <c r="J294" s="863"/>
      <c r="K294" s="445">
        <f>K295</f>
        <v>1</v>
      </c>
      <c r="L294" s="984"/>
      <c r="M294" s="413"/>
      <c r="N294" s="984"/>
      <c r="O294" s="984"/>
      <c r="P294" s="466"/>
      <c r="Q294" s="466"/>
      <c r="R294" s="466"/>
      <c r="S294" s="466"/>
      <c r="T294" s="417"/>
      <c r="U294" s="417"/>
      <c r="V294" s="453"/>
      <c r="W294" s="889"/>
      <c r="X294" s="213"/>
      <c r="Y294" s="883"/>
    </row>
    <row r="295" spans="1:25">
      <c r="A295" s="2823">
        <v>4148</v>
      </c>
      <c r="B295" s="2823"/>
      <c r="C295" s="2823" t="s">
        <v>109</v>
      </c>
      <c r="D295" s="3027" t="s">
        <v>2968</v>
      </c>
      <c r="E295" s="863" t="s">
        <v>2969</v>
      </c>
      <c r="F295" s="466"/>
      <c r="G295" s="213"/>
      <c r="H295" s="466">
        <f t="shared" si="184"/>
        <v>0</v>
      </c>
      <c r="I295" s="213"/>
      <c r="J295" s="863"/>
      <c r="K295" s="445">
        <v>1</v>
      </c>
      <c r="L295" s="984">
        <f>SUM(L296:L297)</f>
        <v>1</v>
      </c>
      <c r="M295" s="413"/>
      <c r="N295" s="984">
        <f>SUM(N296:N297)</f>
        <v>0.32600000000000001</v>
      </c>
      <c r="O295" s="3156">
        <f>IF(Q295&gt;0,N295,"na")</f>
        <v>0.32600000000000001</v>
      </c>
      <c r="P295" s="466">
        <f t="shared" ref="P295:S295" si="185">SUM(P296:P297)</f>
        <v>1082500400</v>
      </c>
      <c r="Q295" s="466">
        <f t="shared" si="185"/>
        <v>1442500400</v>
      </c>
      <c r="R295" s="466">
        <f t="shared" si="185"/>
        <v>1286763652</v>
      </c>
      <c r="S295" s="466">
        <f t="shared" si="185"/>
        <v>497906000</v>
      </c>
      <c r="T295" s="2253">
        <f t="shared" ref="T295:U297" si="186">IF(Q295=0,0,R295/Q295)</f>
        <v>0.89203694640223319</v>
      </c>
      <c r="U295" s="2253">
        <f t="shared" si="186"/>
        <v>0.38694440834267518</v>
      </c>
      <c r="V295" s="453"/>
      <c r="W295" s="889"/>
      <c r="X295" s="2260"/>
      <c r="Y295" s="2841" t="s">
        <v>2875</v>
      </c>
    </row>
    <row r="296" spans="1:25" ht="189">
      <c r="A296" s="2875"/>
      <c r="B296" s="2875"/>
      <c r="C296" s="2875"/>
      <c r="D296" s="2875"/>
      <c r="E296" s="417" t="s">
        <v>2970</v>
      </c>
      <c r="F296" s="466"/>
      <c r="G296" s="3027" t="s">
        <v>2967</v>
      </c>
      <c r="H296" s="3159">
        <v>0</v>
      </c>
      <c r="I296" s="2300" t="s">
        <v>2971</v>
      </c>
      <c r="J296" s="213" t="s">
        <v>2513</v>
      </c>
      <c r="K296" s="445">
        <v>3</v>
      </c>
      <c r="L296" s="984">
        <v>0.6</v>
      </c>
      <c r="M296" s="413">
        <v>0</v>
      </c>
      <c r="N296" s="984">
        <v>0.159</v>
      </c>
      <c r="O296" s="2875"/>
      <c r="P296" s="466">
        <v>433966650</v>
      </c>
      <c r="Q296" s="466">
        <v>433966650</v>
      </c>
      <c r="R296" s="466">
        <v>299375652</v>
      </c>
      <c r="S296" s="466">
        <v>136339000</v>
      </c>
      <c r="T296" s="2253">
        <f t="shared" si="186"/>
        <v>0.68985866079801295</v>
      </c>
      <c r="U296" s="2253">
        <f t="shared" si="186"/>
        <v>0.45541111673303347</v>
      </c>
      <c r="V296" s="889">
        <v>45321</v>
      </c>
      <c r="W296" s="889">
        <v>45596</v>
      </c>
      <c r="X296" s="1035" t="s">
        <v>5411</v>
      </c>
      <c r="Y296" s="3146"/>
    </row>
    <row r="297" spans="1:25" ht="175.5">
      <c r="A297" s="2876"/>
      <c r="B297" s="2876"/>
      <c r="C297" s="2876"/>
      <c r="D297" s="2876"/>
      <c r="E297" s="417" t="s">
        <v>2972</v>
      </c>
      <c r="F297" s="466"/>
      <c r="G297" s="2876"/>
      <c r="H297" s="2876"/>
      <c r="I297" s="213" t="s">
        <v>2973</v>
      </c>
      <c r="J297" s="213" t="s">
        <v>2504</v>
      </c>
      <c r="K297" s="445">
        <v>37</v>
      </c>
      <c r="L297" s="984">
        <v>0.4</v>
      </c>
      <c r="M297" s="413">
        <v>0</v>
      </c>
      <c r="N297" s="984">
        <v>0.16700000000000001</v>
      </c>
      <c r="O297" s="2876"/>
      <c r="P297" s="466">
        <v>648533750</v>
      </c>
      <c r="Q297" s="466">
        <v>1008533750</v>
      </c>
      <c r="R297" s="466">
        <v>987388000</v>
      </c>
      <c r="S297" s="466">
        <v>361567000</v>
      </c>
      <c r="T297" s="2253">
        <f t="shared" si="186"/>
        <v>0.97903317563740433</v>
      </c>
      <c r="U297" s="2253">
        <f t="shared" si="186"/>
        <v>0.36618532937406573</v>
      </c>
      <c r="V297" s="2257">
        <v>45321</v>
      </c>
      <c r="W297" s="2285" t="s">
        <v>5412</v>
      </c>
      <c r="X297" s="213" t="s">
        <v>5413</v>
      </c>
      <c r="Y297" s="3147"/>
    </row>
    <row r="298" spans="1:25">
      <c r="A298" s="239"/>
      <c r="B298" s="252"/>
      <c r="C298" s="252"/>
      <c r="D298" s="239"/>
      <c r="E298" s="239"/>
      <c r="F298" s="239"/>
      <c r="G298" s="434"/>
      <c r="H298" s="252"/>
      <c r="I298" s="434"/>
      <c r="J298" s="252"/>
      <c r="K298" s="430"/>
      <c r="L298" s="239"/>
      <c r="M298" s="969"/>
      <c r="N298" s="239"/>
      <c r="O298" s="239"/>
      <c r="P298" s="976"/>
      <c r="Q298" s="976"/>
      <c r="R298" s="976"/>
      <c r="S298" s="976"/>
      <c r="T298" s="239"/>
      <c r="U298" s="239"/>
      <c r="V298" s="416"/>
      <c r="W298" s="2301"/>
      <c r="X298" s="213"/>
      <c r="Y298" s="2302"/>
    </row>
    <row r="299" spans="1:25">
      <c r="A299" s="239"/>
      <c r="B299" s="326" t="s">
        <v>36</v>
      </c>
      <c r="C299" s="326">
        <f>COUNTIF(C7:C297,"Pr")</f>
        <v>84</v>
      </c>
      <c r="D299" s="239"/>
      <c r="E299" s="239"/>
      <c r="F299" s="239"/>
      <c r="G299" s="434"/>
      <c r="H299" s="252"/>
      <c r="I299" s="434"/>
      <c r="J299" s="252"/>
      <c r="K299" s="430"/>
      <c r="L299" s="984" t="s">
        <v>5782</v>
      </c>
      <c r="M299" s="413"/>
      <c r="N299" s="984" t="s">
        <v>503</v>
      </c>
      <c r="O299" s="984">
        <f>+AVERAGE(O7:O297)</f>
        <v>0.12598809523809523</v>
      </c>
      <c r="P299" s="466">
        <f t="shared" ref="P299:S299" si="187">P11+P13+P18+P23+P25+P27+P31+P38+P44+P48+P53+P56+P61+P66+P72+P76+P81+P86+P88+P90+P93+P95+P99+P103+P105+P110+P114+P120+P123+P125+P128+P131+P134+P136+P139+P142+P144+P147+P152+P155+P158+P162+P169+P171+P173+P176+P178+P180+P182+P184+P186+P188+P190+P192+P194+P196+P198+P200+P202+P205+P208+P210+P212+P215+P218+P221+P224+P228+P232+P235+P239+P243+P247+P251+P256+P260+P265+P268+P271+P278+P281+P285+P289+P295</f>
        <v>73298514580</v>
      </c>
      <c r="Q299" s="466">
        <f t="shared" si="187"/>
        <v>142314710279</v>
      </c>
      <c r="R299" s="466">
        <f t="shared" si="187"/>
        <v>84837490265</v>
      </c>
      <c r="S299" s="466">
        <f t="shared" si="187"/>
        <v>10843704954</v>
      </c>
      <c r="T299" s="2303"/>
      <c r="U299" s="2303"/>
      <c r="V299" s="416"/>
      <c r="W299" s="2301"/>
      <c r="X299" s="213"/>
      <c r="Y299" s="2302"/>
    </row>
    <row r="300" spans="1:25">
      <c r="A300" s="239"/>
      <c r="B300" s="326"/>
      <c r="C300" s="326"/>
      <c r="D300" s="239"/>
      <c r="E300" s="239"/>
      <c r="F300" s="239"/>
      <c r="G300" s="434"/>
      <c r="H300" s="252"/>
      <c r="I300" s="434"/>
      <c r="J300" s="252"/>
      <c r="K300" s="430"/>
      <c r="L300" s="239"/>
      <c r="M300" s="969"/>
      <c r="N300" s="239" t="s">
        <v>119</v>
      </c>
      <c r="O300" s="239">
        <f>COUNTIF(O7:O297,"=0%")</f>
        <v>39</v>
      </c>
      <c r="P300" s="466">
        <v>73298514580</v>
      </c>
      <c r="Q300" s="466">
        <v>142314710279</v>
      </c>
      <c r="R300" s="466">
        <v>84837490265</v>
      </c>
      <c r="S300" s="466">
        <v>10843704954</v>
      </c>
      <c r="T300" s="2304"/>
      <c r="U300" s="2304"/>
      <c r="V300" s="416"/>
      <c r="W300" s="2301"/>
      <c r="X300" s="213"/>
      <c r="Y300" s="2302"/>
    </row>
    <row r="301" spans="1:25">
      <c r="A301" s="239"/>
      <c r="B301" s="326"/>
      <c r="C301" s="326"/>
      <c r="D301" s="239"/>
      <c r="E301" s="239"/>
      <c r="F301" s="239"/>
      <c r="G301" s="434"/>
      <c r="H301" s="252"/>
      <c r="I301" s="434"/>
      <c r="J301" s="252"/>
      <c r="K301" s="430"/>
      <c r="L301" s="239"/>
      <c r="M301" s="969"/>
      <c r="N301" s="239"/>
      <c r="O301" s="239"/>
      <c r="P301" s="986"/>
      <c r="Q301" s="986"/>
      <c r="R301" s="986"/>
      <c r="S301" s="986"/>
      <c r="T301" s="2305"/>
      <c r="U301" s="2305"/>
      <c r="V301" s="416"/>
      <c r="W301" s="2301"/>
      <c r="X301" s="213"/>
      <c r="Y301" s="2302"/>
    </row>
    <row r="302" spans="1:25">
      <c r="A302" s="239"/>
      <c r="B302" s="326"/>
      <c r="C302" s="326"/>
      <c r="D302" s="239"/>
      <c r="E302" s="239"/>
      <c r="F302" s="239"/>
      <c r="G302" s="434"/>
      <c r="H302" s="252"/>
      <c r="I302" s="434"/>
      <c r="J302" s="252"/>
      <c r="K302" s="430"/>
      <c r="L302" s="239"/>
      <c r="M302" s="969"/>
      <c r="N302" s="239"/>
      <c r="O302" s="239"/>
      <c r="P302" s="976"/>
      <c r="Q302" s="976"/>
      <c r="R302" s="976"/>
      <c r="S302" s="976"/>
      <c r="T302" s="239"/>
      <c r="U302" s="239"/>
      <c r="V302" s="416"/>
      <c r="W302" s="2301"/>
      <c r="X302" s="213"/>
      <c r="Y302" s="2302"/>
    </row>
    <row r="303" spans="1:25">
      <c r="A303" s="239"/>
      <c r="B303" s="326"/>
      <c r="C303" s="326"/>
      <c r="D303" s="239"/>
      <c r="E303" s="239"/>
      <c r="F303" s="239"/>
      <c r="G303" s="434"/>
      <c r="H303" s="252"/>
      <c r="I303" s="434"/>
      <c r="J303" s="252"/>
      <c r="K303" s="430"/>
      <c r="L303" s="239"/>
      <c r="M303" s="969"/>
      <c r="N303" s="239"/>
      <c r="O303" s="239"/>
      <c r="P303" s="976"/>
      <c r="Q303" s="976"/>
      <c r="R303" s="976"/>
      <c r="S303" s="976"/>
      <c r="T303" s="239"/>
      <c r="U303" s="239"/>
      <c r="V303" s="416"/>
      <c r="W303" s="2301"/>
      <c r="X303" s="213"/>
      <c r="Y303" s="2302"/>
    </row>
  </sheetData>
  <mergeCells count="549">
    <mergeCell ref="O278:O280"/>
    <mergeCell ref="Y278:Y280"/>
    <mergeCell ref="A285:A286"/>
    <mergeCell ref="B285:B286"/>
    <mergeCell ref="C285:C286"/>
    <mergeCell ref="D285:D286"/>
    <mergeCell ref="O285:O286"/>
    <mergeCell ref="Y285:Y286"/>
    <mergeCell ref="A295:A297"/>
    <mergeCell ref="B295:B297"/>
    <mergeCell ref="C295:C297"/>
    <mergeCell ref="D295:D297"/>
    <mergeCell ref="O295:O297"/>
    <mergeCell ref="Y295:Y297"/>
    <mergeCell ref="G296:G297"/>
    <mergeCell ref="H296:H297"/>
    <mergeCell ref="A289:A291"/>
    <mergeCell ref="B289:B291"/>
    <mergeCell ref="C289:C291"/>
    <mergeCell ref="D289:D291"/>
    <mergeCell ref="O289:O291"/>
    <mergeCell ref="Y289:Y291"/>
    <mergeCell ref="G290:G291"/>
    <mergeCell ref="H290:H291"/>
    <mergeCell ref="A247:A249"/>
    <mergeCell ref="B247:B249"/>
    <mergeCell ref="C247:C249"/>
    <mergeCell ref="D247:D249"/>
    <mergeCell ref="O247:O249"/>
    <mergeCell ref="Y247:Y249"/>
    <mergeCell ref="A271:A273"/>
    <mergeCell ref="B271:B273"/>
    <mergeCell ref="C271:C273"/>
    <mergeCell ref="D271:D273"/>
    <mergeCell ref="O271:O273"/>
    <mergeCell ref="Y271:Y273"/>
    <mergeCell ref="A232:A234"/>
    <mergeCell ref="B232:B234"/>
    <mergeCell ref="C232:C234"/>
    <mergeCell ref="D232:D234"/>
    <mergeCell ref="O232:O234"/>
    <mergeCell ref="Y232:Y234"/>
    <mergeCell ref="A235:A237"/>
    <mergeCell ref="B235:B237"/>
    <mergeCell ref="C235:C237"/>
    <mergeCell ref="D235:D237"/>
    <mergeCell ref="O235:O237"/>
    <mergeCell ref="Y235:Y237"/>
    <mergeCell ref="A210:A211"/>
    <mergeCell ref="B210:B211"/>
    <mergeCell ref="C210:C211"/>
    <mergeCell ref="D210:D211"/>
    <mergeCell ref="O210:O211"/>
    <mergeCell ref="Y210:Y211"/>
    <mergeCell ref="A215:A216"/>
    <mergeCell ref="B215:B216"/>
    <mergeCell ref="C215:C216"/>
    <mergeCell ref="D215:D216"/>
    <mergeCell ref="O215:O216"/>
    <mergeCell ref="Y215:Y216"/>
    <mergeCell ref="Y212:Y214"/>
    <mergeCell ref="A212:A214"/>
    <mergeCell ref="B212:B214"/>
    <mergeCell ref="C212:C214"/>
    <mergeCell ref="D212:D214"/>
    <mergeCell ref="O212:O214"/>
    <mergeCell ref="A158:A161"/>
    <mergeCell ref="B158:B161"/>
    <mergeCell ref="C158:C161"/>
    <mergeCell ref="D158:D161"/>
    <mergeCell ref="O158:O161"/>
    <mergeCell ref="Y158:Y161"/>
    <mergeCell ref="F159:F161"/>
    <mergeCell ref="G159:G161"/>
    <mergeCell ref="H159:H161"/>
    <mergeCell ref="A147:A150"/>
    <mergeCell ref="B147:B150"/>
    <mergeCell ref="C147:C150"/>
    <mergeCell ref="D147:D150"/>
    <mergeCell ref="O147:O150"/>
    <mergeCell ref="Y147:Y150"/>
    <mergeCell ref="F148:F150"/>
    <mergeCell ref="G148:G150"/>
    <mergeCell ref="H148:H150"/>
    <mergeCell ref="B131:B133"/>
    <mergeCell ref="C131:C133"/>
    <mergeCell ref="D131:D133"/>
    <mergeCell ref="O131:O133"/>
    <mergeCell ref="Y131:Y133"/>
    <mergeCell ref="O142:O143"/>
    <mergeCell ref="Y142:Y143"/>
    <mergeCell ref="A144:A145"/>
    <mergeCell ref="B144:B145"/>
    <mergeCell ref="C144:C145"/>
    <mergeCell ref="D144:D145"/>
    <mergeCell ref="O144:O145"/>
    <mergeCell ref="Y144:Y145"/>
    <mergeCell ref="A81:A82"/>
    <mergeCell ref="B81:B82"/>
    <mergeCell ref="C81:C82"/>
    <mergeCell ref="D81:D82"/>
    <mergeCell ref="O81:O82"/>
    <mergeCell ref="Y81:Y82"/>
    <mergeCell ref="A88:A89"/>
    <mergeCell ref="B88:B89"/>
    <mergeCell ref="C88:C89"/>
    <mergeCell ref="D88:D89"/>
    <mergeCell ref="O88:O89"/>
    <mergeCell ref="Y88:Y89"/>
    <mergeCell ref="A61:A63"/>
    <mergeCell ref="B61:B63"/>
    <mergeCell ref="C61:C63"/>
    <mergeCell ref="D61:D63"/>
    <mergeCell ref="O61:O63"/>
    <mergeCell ref="Y61:Y63"/>
    <mergeCell ref="A66:A69"/>
    <mergeCell ref="B66:B69"/>
    <mergeCell ref="C66:C69"/>
    <mergeCell ref="D66:D69"/>
    <mergeCell ref="O66:O69"/>
    <mergeCell ref="Y66:Y69"/>
    <mergeCell ref="A18:A19"/>
    <mergeCell ref="B18:B19"/>
    <mergeCell ref="C18:C19"/>
    <mergeCell ref="D18:D19"/>
    <mergeCell ref="O18:O19"/>
    <mergeCell ref="Y18:Y19"/>
    <mergeCell ref="A25:A26"/>
    <mergeCell ref="B25:B26"/>
    <mergeCell ref="C25:C26"/>
    <mergeCell ref="D25:D26"/>
    <mergeCell ref="O25:O26"/>
    <mergeCell ref="Y25:Y26"/>
    <mergeCell ref="A23:A24"/>
    <mergeCell ref="B23:B24"/>
    <mergeCell ref="C23:C24"/>
    <mergeCell ref="D23:D24"/>
    <mergeCell ref="O23:O24"/>
    <mergeCell ref="Y23:Y24"/>
    <mergeCell ref="A281:A283"/>
    <mergeCell ref="B281:B283"/>
    <mergeCell ref="C281:C283"/>
    <mergeCell ref="D281:D283"/>
    <mergeCell ref="O281:O283"/>
    <mergeCell ref="Y281:Y283"/>
    <mergeCell ref="G282:G283"/>
    <mergeCell ref="H282:H283"/>
    <mergeCell ref="A265:A266"/>
    <mergeCell ref="B265:B266"/>
    <mergeCell ref="C265:C266"/>
    <mergeCell ref="D265:D266"/>
    <mergeCell ref="O265:O266"/>
    <mergeCell ref="Y265:Y266"/>
    <mergeCell ref="A268:A270"/>
    <mergeCell ref="B268:B270"/>
    <mergeCell ref="C268:C270"/>
    <mergeCell ref="D268:D270"/>
    <mergeCell ref="O268:O270"/>
    <mergeCell ref="Y268:Y270"/>
    <mergeCell ref="A278:A280"/>
    <mergeCell ref="B278:B280"/>
    <mergeCell ref="C278:C280"/>
    <mergeCell ref="D278:D280"/>
    <mergeCell ref="A260:A263"/>
    <mergeCell ref="B260:B263"/>
    <mergeCell ref="C260:C263"/>
    <mergeCell ref="D260:D263"/>
    <mergeCell ref="O260:O263"/>
    <mergeCell ref="Y260:Y263"/>
    <mergeCell ref="A251:A254"/>
    <mergeCell ref="B251:B254"/>
    <mergeCell ref="C251:C254"/>
    <mergeCell ref="D251:D254"/>
    <mergeCell ref="O251:O254"/>
    <mergeCell ref="Y251:Y254"/>
    <mergeCell ref="A256:A258"/>
    <mergeCell ref="B256:B258"/>
    <mergeCell ref="C256:C258"/>
    <mergeCell ref="D256:D258"/>
    <mergeCell ref="O256:O258"/>
    <mergeCell ref="Y256:Y258"/>
    <mergeCell ref="A239:A241"/>
    <mergeCell ref="B239:B241"/>
    <mergeCell ref="C239:C241"/>
    <mergeCell ref="D239:D241"/>
    <mergeCell ref="O239:O241"/>
    <mergeCell ref="Y239:Y241"/>
    <mergeCell ref="G240:G241"/>
    <mergeCell ref="A243:A245"/>
    <mergeCell ref="B243:B245"/>
    <mergeCell ref="C243:C245"/>
    <mergeCell ref="D243:D245"/>
    <mergeCell ref="O243:O245"/>
    <mergeCell ref="Y243:Y245"/>
    <mergeCell ref="G244:G245"/>
    <mergeCell ref="H244:H245"/>
    <mergeCell ref="A224:A226"/>
    <mergeCell ref="B224:B226"/>
    <mergeCell ref="C224:C226"/>
    <mergeCell ref="D224:D226"/>
    <mergeCell ref="O224:O226"/>
    <mergeCell ref="Y224:Y226"/>
    <mergeCell ref="G225:G226"/>
    <mergeCell ref="H225:H226"/>
    <mergeCell ref="A228:A230"/>
    <mergeCell ref="B228:B230"/>
    <mergeCell ref="C228:C230"/>
    <mergeCell ref="D228:D230"/>
    <mergeCell ref="O228:O230"/>
    <mergeCell ref="Y228:Y230"/>
    <mergeCell ref="Y218:Y220"/>
    <mergeCell ref="A218:A220"/>
    <mergeCell ref="B218:B220"/>
    <mergeCell ref="C218:C220"/>
    <mergeCell ref="D218:D220"/>
    <mergeCell ref="O218:O220"/>
    <mergeCell ref="A221:A223"/>
    <mergeCell ref="B221:B223"/>
    <mergeCell ref="C221:C223"/>
    <mergeCell ref="D221:D223"/>
    <mergeCell ref="O221:O223"/>
    <mergeCell ref="Y221:Y223"/>
    <mergeCell ref="A205:A207"/>
    <mergeCell ref="B205:B207"/>
    <mergeCell ref="C205:C207"/>
    <mergeCell ref="D205:D207"/>
    <mergeCell ref="O205:O207"/>
    <mergeCell ref="Y205:Y207"/>
    <mergeCell ref="A208:A209"/>
    <mergeCell ref="B208:B209"/>
    <mergeCell ref="C208:C209"/>
    <mergeCell ref="D208:D209"/>
    <mergeCell ref="O208:O209"/>
    <mergeCell ref="Y208:Y209"/>
    <mergeCell ref="Y202:Y203"/>
    <mergeCell ref="A202:A203"/>
    <mergeCell ref="B202:B203"/>
    <mergeCell ref="C202:C203"/>
    <mergeCell ref="D202:D203"/>
    <mergeCell ref="O202:O203"/>
    <mergeCell ref="Y196:Y197"/>
    <mergeCell ref="A196:A197"/>
    <mergeCell ref="B196:B197"/>
    <mergeCell ref="C196:C197"/>
    <mergeCell ref="D196:D197"/>
    <mergeCell ref="O196:O197"/>
    <mergeCell ref="A198:A199"/>
    <mergeCell ref="B198:B199"/>
    <mergeCell ref="C198:C199"/>
    <mergeCell ref="D198:D199"/>
    <mergeCell ref="O198:O199"/>
    <mergeCell ref="Y198:Y199"/>
    <mergeCell ref="A200:A201"/>
    <mergeCell ref="B200:B201"/>
    <mergeCell ref="C200:C201"/>
    <mergeCell ref="D200:D201"/>
    <mergeCell ref="O200:O201"/>
    <mergeCell ref="Y200:Y201"/>
    <mergeCell ref="Y192:Y193"/>
    <mergeCell ref="A194:A195"/>
    <mergeCell ref="B194:B195"/>
    <mergeCell ref="C194:C195"/>
    <mergeCell ref="D194:D195"/>
    <mergeCell ref="O194:O195"/>
    <mergeCell ref="Y194:Y195"/>
    <mergeCell ref="A192:A193"/>
    <mergeCell ref="B192:B193"/>
    <mergeCell ref="C192:C193"/>
    <mergeCell ref="D192:D193"/>
    <mergeCell ref="O192:O193"/>
    <mergeCell ref="Y188:Y189"/>
    <mergeCell ref="A190:A191"/>
    <mergeCell ref="B190:B191"/>
    <mergeCell ref="C190:C191"/>
    <mergeCell ref="D190:D191"/>
    <mergeCell ref="O190:O191"/>
    <mergeCell ref="Y190:Y191"/>
    <mergeCell ref="A188:A189"/>
    <mergeCell ref="B188:B189"/>
    <mergeCell ref="C188:C189"/>
    <mergeCell ref="D188:D189"/>
    <mergeCell ref="O188:O189"/>
    <mergeCell ref="Y184:Y185"/>
    <mergeCell ref="A186:A187"/>
    <mergeCell ref="B186:B187"/>
    <mergeCell ref="C186:C187"/>
    <mergeCell ref="D186:D187"/>
    <mergeCell ref="O186:O187"/>
    <mergeCell ref="Y186:Y187"/>
    <mergeCell ref="A184:A185"/>
    <mergeCell ref="B184:B185"/>
    <mergeCell ref="C184:C185"/>
    <mergeCell ref="D184:D185"/>
    <mergeCell ref="O184:O185"/>
    <mergeCell ref="Y180:Y181"/>
    <mergeCell ref="A182:A183"/>
    <mergeCell ref="B182:B183"/>
    <mergeCell ref="C182:C183"/>
    <mergeCell ref="D182:D183"/>
    <mergeCell ref="O182:O183"/>
    <mergeCell ref="Y182:Y183"/>
    <mergeCell ref="A180:A181"/>
    <mergeCell ref="B180:B181"/>
    <mergeCell ref="C180:C181"/>
    <mergeCell ref="D180:D181"/>
    <mergeCell ref="O180:O181"/>
    <mergeCell ref="Y176:Y177"/>
    <mergeCell ref="A178:A179"/>
    <mergeCell ref="B178:B179"/>
    <mergeCell ref="C178:C179"/>
    <mergeCell ref="D178:D179"/>
    <mergeCell ref="O178:O179"/>
    <mergeCell ref="Y178:Y179"/>
    <mergeCell ref="A176:A177"/>
    <mergeCell ref="B176:B177"/>
    <mergeCell ref="C176:C177"/>
    <mergeCell ref="D176:D177"/>
    <mergeCell ref="O176:O177"/>
    <mergeCell ref="A171:A172"/>
    <mergeCell ref="B171:B172"/>
    <mergeCell ref="C171:C172"/>
    <mergeCell ref="D171:D172"/>
    <mergeCell ref="O171:O172"/>
    <mergeCell ref="Y171:Y172"/>
    <mergeCell ref="A173:A175"/>
    <mergeCell ref="B173:B175"/>
    <mergeCell ref="C173:C175"/>
    <mergeCell ref="D173:D175"/>
    <mergeCell ref="O173:O175"/>
    <mergeCell ref="Y173:Y175"/>
    <mergeCell ref="A169:A170"/>
    <mergeCell ref="B169:B170"/>
    <mergeCell ref="C169:C170"/>
    <mergeCell ref="D169:D170"/>
    <mergeCell ref="O169:O170"/>
    <mergeCell ref="Y169:Y170"/>
    <mergeCell ref="A162:A166"/>
    <mergeCell ref="B162:B166"/>
    <mergeCell ref="C162:C166"/>
    <mergeCell ref="D162:D166"/>
    <mergeCell ref="O162:O166"/>
    <mergeCell ref="Y162:Y166"/>
    <mergeCell ref="A152:A153"/>
    <mergeCell ref="B152:B153"/>
    <mergeCell ref="C152:C153"/>
    <mergeCell ref="D152:D153"/>
    <mergeCell ref="O152:O153"/>
    <mergeCell ref="Y152:Y153"/>
    <mergeCell ref="A155:A156"/>
    <mergeCell ref="B155:B156"/>
    <mergeCell ref="C155:C156"/>
    <mergeCell ref="D155:D156"/>
    <mergeCell ref="O155:O156"/>
    <mergeCell ref="Y155:Y156"/>
    <mergeCell ref="A139:A141"/>
    <mergeCell ref="B139:B141"/>
    <mergeCell ref="C139:C141"/>
    <mergeCell ref="D139:D141"/>
    <mergeCell ref="O139:O141"/>
    <mergeCell ref="Y139:Y141"/>
    <mergeCell ref="A142:A143"/>
    <mergeCell ref="B142:B143"/>
    <mergeCell ref="C142:C143"/>
    <mergeCell ref="D142:D143"/>
    <mergeCell ref="A136:A137"/>
    <mergeCell ref="B136:B137"/>
    <mergeCell ref="C136:C137"/>
    <mergeCell ref="D136:D137"/>
    <mergeCell ref="O136:O137"/>
    <mergeCell ref="A134:A135"/>
    <mergeCell ref="B134:B135"/>
    <mergeCell ref="C134:C135"/>
    <mergeCell ref="D134:D135"/>
    <mergeCell ref="O134:O135"/>
    <mergeCell ref="Y134:Y135"/>
    <mergeCell ref="A125:A126"/>
    <mergeCell ref="B125:B126"/>
    <mergeCell ref="C125:C126"/>
    <mergeCell ref="D125:D126"/>
    <mergeCell ref="O125:O126"/>
    <mergeCell ref="A128:A130"/>
    <mergeCell ref="B128:B130"/>
    <mergeCell ref="A120:A122"/>
    <mergeCell ref="B120:B122"/>
    <mergeCell ref="C120:C122"/>
    <mergeCell ref="D120:D122"/>
    <mergeCell ref="O120:O122"/>
    <mergeCell ref="Y120:Y122"/>
    <mergeCell ref="A123:A124"/>
    <mergeCell ref="B123:B124"/>
    <mergeCell ref="C123:C124"/>
    <mergeCell ref="D123:D124"/>
    <mergeCell ref="O123:O124"/>
    <mergeCell ref="C128:C130"/>
    <mergeCell ref="D128:D130"/>
    <mergeCell ref="O128:O130"/>
    <mergeCell ref="Y128:Y130"/>
    <mergeCell ref="A131:A133"/>
    <mergeCell ref="A114:A116"/>
    <mergeCell ref="B114:B116"/>
    <mergeCell ref="C114:C116"/>
    <mergeCell ref="D114:D116"/>
    <mergeCell ref="O114:O116"/>
    <mergeCell ref="Y114:Y116"/>
    <mergeCell ref="A103:A104"/>
    <mergeCell ref="B103:B104"/>
    <mergeCell ref="C103:C104"/>
    <mergeCell ref="D103:D104"/>
    <mergeCell ref="O103:O104"/>
    <mergeCell ref="Y103:Y104"/>
    <mergeCell ref="A105:A106"/>
    <mergeCell ref="B105:B106"/>
    <mergeCell ref="C105:C106"/>
    <mergeCell ref="D105:D106"/>
    <mergeCell ref="O105:O106"/>
    <mergeCell ref="Y105:Y106"/>
    <mergeCell ref="A110:A112"/>
    <mergeCell ref="B110:B112"/>
    <mergeCell ref="C110:C112"/>
    <mergeCell ref="D110:D112"/>
    <mergeCell ref="O110:O112"/>
    <mergeCell ref="Y110:Y112"/>
    <mergeCell ref="A99:A102"/>
    <mergeCell ref="B99:B102"/>
    <mergeCell ref="C99:C102"/>
    <mergeCell ref="D99:D102"/>
    <mergeCell ref="O99:O102"/>
    <mergeCell ref="Y99:Y102"/>
    <mergeCell ref="Y93:Y94"/>
    <mergeCell ref="A93:A94"/>
    <mergeCell ref="B93:B94"/>
    <mergeCell ref="C93:C94"/>
    <mergeCell ref="D93:D94"/>
    <mergeCell ref="O93:O94"/>
    <mergeCell ref="A95:A96"/>
    <mergeCell ref="B95:B96"/>
    <mergeCell ref="C95:C96"/>
    <mergeCell ref="D95:D96"/>
    <mergeCell ref="O95:O96"/>
    <mergeCell ref="Y95:Y96"/>
    <mergeCell ref="A90:A92"/>
    <mergeCell ref="B90:B92"/>
    <mergeCell ref="C90:C92"/>
    <mergeCell ref="D90:D92"/>
    <mergeCell ref="O90:O92"/>
    <mergeCell ref="Y90:Y92"/>
    <mergeCell ref="A86:A87"/>
    <mergeCell ref="B86:B87"/>
    <mergeCell ref="C86:C87"/>
    <mergeCell ref="D86:D87"/>
    <mergeCell ref="O86:O87"/>
    <mergeCell ref="Y86:Y87"/>
    <mergeCell ref="A72:A74"/>
    <mergeCell ref="B72:B74"/>
    <mergeCell ref="C72:C74"/>
    <mergeCell ref="D72:D74"/>
    <mergeCell ref="O72:O74"/>
    <mergeCell ref="Y72:Y74"/>
    <mergeCell ref="A76:A78"/>
    <mergeCell ref="B76:B78"/>
    <mergeCell ref="C76:C78"/>
    <mergeCell ref="D76:D78"/>
    <mergeCell ref="O76:O78"/>
    <mergeCell ref="Y76:Y78"/>
    <mergeCell ref="A53:A55"/>
    <mergeCell ref="B53:B55"/>
    <mergeCell ref="C53:C55"/>
    <mergeCell ref="D53:D55"/>
    <mergeCell ref="O53:O55"/>
    <mergeCell ref="Y53:Y55"/>
    <mergeCell ref="A56:A58"/>
    <mergeCell ref="B56:B58"/>
    <mergeCell ref="C56:C58"/>
    <mergeCell ref="D56:D58"/>
    <mergeCell ref="O56:O58"/>
    <mergeCell ref="Y56:Y58"/>
    <mergeCell ref="A44:A46"/>
    <mergeCell ref="B44:B46"/>
    <mergeCell ref="C44:C46"/>
    <mergeCell ref="D44:D46"/>
    <mergeCell ref="O44:O46"/>
    <mergeCell ref="Y44:Y46"/>
    <mergeCell ref="A48:A50"/>
    <mergeCell ref="B48:B50"/>
    <mergeCell ref="C48:C50"/>
    <mergeCell ref="D48:D50"/>
    <mergeCell ref="O48:O50"/>
    <mergeCell ref="Y48:Y50"/>
    <mergeCell ref="A38:A40"/>
    <mergeCell ref="B38:B40"/>
    <mergeCell ref="C38:C40"/>
    <mergeCell ref="D38:D40"/>
    <mergeCell ref="O38:O40"/>
    <mergeCell ref="Y38:Y40"/>
    <mergeCell ref="A27:A29"/>
    <mergeCell ref="B27:B29"/>
    <mergeCell ref="C27:C29"/>
    <mergeCell ref="D27:D29"/>
    <mergeCell ref="O27:O29"/>
    <mergeCell ref="Y27:Y29"/>
    <mergeCell ref="A31:A33"/>
    <mergeCell ref="B31:B33"/>
    <mergeCell ref="C31:C33"/>
    <mergeCell ref="D31:D33"/>
    <mergeCell ref="O31:O33"/>
    <mergeCell ref="Y31:Y33"/>
    <mergeCell ref="A11:A12"/>
    <mergeCell ref="B11:B12"/>
    <mergeCell ref="C11:C12"/>
    <mergeCell ref="D11:D12"/>
    <mergeCell ref="O11:O12"/>
    <mergeCell ref="A13:A16"/>
    <mergeCell ref="B13:B16"/>
    <mergeCell ref="C13:C16"/>
    <mergeCell ref="D13:D16"/>
    <mergeCell ref="O13:O16"/>
    <mergeCell ref="Y13:Y16"/>
    <mergeCell ref="A1:X1"/>
    <mergeCell ref="A2:Y2"/>
    <mergeCell ref="A3:B3"/>
    <mergeCell ref="C3:R3"/>
    <mergeCell ref="S3:U3"/>
    <mergeCell ref="V3:W3"/>
    <mergeCell ref="A4:Y4"/>
    <mergeCell ref="T5:T6"/>
    <mergeCell ref="W5:W6"/>
    <mergeCell ref="X5:X6"/>
    <mergeCell ref="Y5:Y6"/>
    <mergeCell ref="J5:J6"/>
    <mergeCell ref="S5:S6"/>
    <mergeCell ref="G5:G6"/>
    <mergeCell ref="H5:H6"/>
    <mergeCell ref="I5:I6"/>
    <mergeCell ref="A5:A6"/>
    <mergeCell ref="B5:B6"/>
    <mergeCell ref="C5:C6"/>
    <mergeCell ref="D5:D6"/>
    <mergeCell ref="K5:K6"/>
    <mergeCell ref="L5:L6"/>
    <mergeCell ref="M5:M6"/>
    <mergeCell ref="N5:N6"/>
    <mergeCell ref="O5:O6"/>
    <mergeCell ref="P5:P6"/>
    <mergeCell ref="Q5:Q6"/>
    <mergeCell ref="R5:R6"/>
    <mergeCell ref="U5:U6"/>
    <mergeCell ref="V5:V6"/>
    <mergeCell ref="E5:E6"/>
    <mergeCell ref="F5:F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AC87"/>
  <sheetViews>
    <sheetView topLeftCell="A82" zoomScale="70" zoomScaleNormal="70" zoomScaleSheetLayoutView="100" workbookViewId="0">
      <selection activeCell="O94" sqref="O94"/>
    </sheetView>
  </sheetViews>
  <sheetFormatPr baseColWidth="10" defaultColWidth="11.42578125" defaultRowHeight="16.5"/>
  <cols>
    <col min="1" max="1" width="13" style="2" customWidth="1"/>
    <col min="2" max="2" width="10.85546875" style="3" customWidth="1"/>
    <col min="3" max="3" width="8.5703125" style="2" customWidth="1"/>
    <col min="4" max="4" width="34.7109375" style="3" customWidth="1"/>
    <col min="5" max="5" width="13.85546875" style="3" customWidth="1"/>
    <col min="6" max="6" width="11.85546875" style="3" customWidth="1"/>
    <col min="7" max="7" width="12.28515625" style="3" customWidth="1"/>
    <col min="8" max="8" width="18.28515625" style="3" customWidth="1"/>
    <col min="9" max="9" width="18.5703125" style="3" customWidth="1"/>
    <col min="10" max="10" width="13.85546875" style="2" customWidth="1"/>
    <col min="11" max="13" width="13.85546875" style="16" customWidth="1"/>
    <col min="14" max="14" width="13.85546875" style="3" customWidth="1"/>
    <col min="15" max="15" width="13.85546875" style="2" customWidth="1"/>
    <col min="16" max="16" width="13.85546875" style="3" customWidth="1"/>
    <col min="17" max="17" width="15.85546875" style="3" customWidth="1"/>
    <col min="18" max="18" width="14.5703125" style="3" customWidth="1"/>
    <col min="19" max="19" width="13.42578125" style="3" customWidth="1"/>
    <col min="20" max="20" width="12.7109375" style="3" customWidth="1"/>
    <col min="21" max="21" width="13.5703125" style="3" customWidth="1"/>
    <col min="22" max="23" width="11" style="3" customWidth="1"/>
    <col min="24" max="24" width="36.7109375" style="3" customWidth="1"/>
    <col min="25" max="25" width="17" style="17" customWidth="1"/>
    <col min="26" max="26" width="11.42578125" style="3"/>
    <col min="27" max="27" width="12.42578125" style="3" bestFit="1" customWidth="1"/>
    <col min="28" max="16384" width="11.42578125" style="3"/>
  </cols>
  <sheetData>
    <row r="1" spans="1:29"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9"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9" s="27" customFormat="1" ht="24.95" customHeight="1">
      <c r="A3" s="3160" t="s">
        <v>73</v>
      </c>
      <c r="B3" s="3160"/>
      <c r="C3" s="3160" t="s">
        <v>64</v>
      </c>
      <c r="D3" s="3160"/>
      <c r="E3" s="3160"/>
      <c r="F3" s="3160"/>
      <c r="G3" s="3160"/>
      <c r="H3" s="3160"/>
      <c r="I3" s="3160"/>
      <c r="J3" s="3160"/>
      <c r="K3" s="3160"/>
      <c r="L3" s="3160"/>
      <c r="M3" s="3160"/>
      <c r="N3" s="3160"/>
      <c r="O3" s="3160"/>
      <c r="P3" s="3160"/>
      <c r="Q3" s="3160"/>
      <c r="R3" s="3160"/>
      <c r="S3" s="3179" t="s">
        <v>17</v>
      </c>
      <c r="T3" s="3179"/>
      <c r="U3" s="3179"/>
      <c r="V3" s="2835">
        <v>45473</v>
      </c>
      <c r="W3" s="2834"/>
      <c r="X3" s="136" t="s">
        <v>5</v>
      </c>
      <c r="Y3" s="137">
        <v>2024</v>
      </c>
      <c r="Z3" s="65"/>
      <c r="AA3" s="66"/>
      <c r="AB3" s="67"/>
      <c r="AC3" s="66"/>
    </row>
    <row r="4" spans="1:29" s="27" customFormat="1" ht="25.5" customHeight="1">
      <c r="A4" s="3129"/>
      <c r="B4" s="3129"/>
      <c r="C4" s="3129"/>
      <c r="D4" s="3129"/>
      <c r="E4" s="3129"/>
      <c r="F4" s="3129"/>
      <c r="G4" s="3129"/>
      <c r="H4" s="3129"/>
      <c r="I4" s="3129"/>
      <c r="J4" s="3129"/>
      <c r="K4" s="3129"/>
      <c r="L4" s="3129"/>
      <c r="M4" s="3129"/>
      <c r="N4" s="3129"/>
      <c r="O4" s="3129"/>
      <c r="P4" s="3129"/>
      <c r="Q4" s="3129"/>
      <c r="R4" s="3129"/>
      <c r="S4" s="3129"/>
      <c r="T4" s="3129"/>
      <c r="U4" s="3129"/>
      <c r="V4" s="3129"/>
      <c r="W4" s="3129"/>
      <c r="X4" s="3129"/>
      <c r="Y4" s="3129"/>
      <c r="Z4" s="65"/>
      <c r="AA4" s="66"/>
      <c r="AB4" s="67"/>
      <c r="AC4" s="66"/>
    </row>
    <row r="5" spans="1:29" s="27" customFormat="1" ht="53.25" customHeight="1">
      <c r="A5" s="2905" t="s">
        <v>74</v>
      </c>
      <c r="B5" s="2905" t="s">
        <v>4</v>
      </c>
      <c r="C5" s="2905" t="s">
        <v>3</v>
      </c>
      <c r="D5" s="3171" t="s">
        <v>94</v>
      </c>
      <c r="E5" s="2905" t="s">
        <v>2</v>
      </c>
      <c r="F5" s="3163" t="s">
        <v>75</v>
      </c>
      <c r="G5" s="2905" t="s">
        <v>92</v>
      </c>
      <c r="H5" s="3163" t="s">
        <v>93</v>
      </c>
      <c r="I5" s="2905" t="s">
        <v>8</v>
      </c>
      <c r="J5" s="2905" t="s">
        <v>9</v>
      </c>
      <c r="K5" s="3169" t="s">
        <v>10</v>
      </c>
      <c r="L5" s="3165" t="s">
        <v>11</v>
      </c>
      <c r="M5" s="3173" t="s">
        <v>86</v>
      </c>
      <c r="N5" s="3167" t="s">
        <v>12</v>
      </c>
      <c r="O5" s="3167" t="s">
        <v>72</v>
      </c>
      <c r="P5" s="3175" t="s">
        <v>1</v>
      </c>
      <c r="Q5" s="3161" t="s">
        <v>13</v>
      </c>
      <c r="R5" s="3161" t="s">
        <v>14</v>
      </c>
      <c r="S5" s="3161" t="s">
        <v>16</v>
      </c>
      <c r="T5" s="3167" t="s">
        <v>15</v>
      </c>
      <c r="U5" s="3167" t="s">
        <v>89</v>
      </c>
      <c r="V5" s="2905" t="s">
        <v>6</v>
      </c>
      <c r="W5" s="2905" t="s">
        <v>7</v>
      </c>
      <c r="X5" s="3177" t="s">
        <v>0</v>
      </c>
      <c r="Y5" s="2904" t="s">
        <v>76</v>
      </c>
      <c r="Z5" s="65"/>
      <c r="AA5" s="66"/>
      <c r="AB5" s="67"/>
      <c r="AC5" s="66"/>
    </row>
    <row r="6" spans="1:29" s="27" customFormat="1" ht="42.75" customHeight="1">
      <c r="A6" s="2881"/>
      <c r="B6" s="2881"/>
      <c r="C6" s="2881"/>
      <c r="D6" s="3172"/>
      <c r="E6" s="2881"/>
      <c r="F6" s="3164"/>
      <c r="G6" s="2881"/>
      <c r="H6" s="3164"/>
      <c r="I6" s="2881"/>
      <c r="J6" s="2881"/>
      <c r="K6" s="3170"/>
      <c r="L6" s="3166"/>
      <c r="M6" s="3174"/>
      <c r="N6" s="3168"/>
      <c r="O6" s="3168"/>
      <c r="P6" s="3176"/>
      <c r="Q6" s="3162"/>
      <c r="R6" s="3162"/>
      <c r="S6" s="3162"/>
      <c r="T6" s="3168"/>
      <c r="U6" s="3168"/>
      <c r="V6" s="2881"/>
      <c r="W6" s="2881"/>
      <c r="X6" s="3178"/>
      <c r="Y6" s="2883"/>
      <c r="Z6" s="65"/>
      <c r="AA6" s="68"/>
      <c r="AB6" s="69"/>
      <c r="AC6" s="68"/>
    </row>
    <row r="7" spans="1:29">
      <c r="A7" s="2586"/>
      <c r="B7" s="2587">
        <v>52</v>
      </c>
      <c r="C7" s="2587" t="s">
        <v>100</v>
      </c>
      <c r="D7" s="2588" t="s">
        <v>148</v>
      </c>
      <c r="E7" s="2589"/>
      <c r="F7" s="2590"/>
      <c r="G7" s="2591"/>
      <c r="H7" s="2590"/>
      <c r="I7" s="2591"/>
      <c r="J7" s="2591"/>
      <c r="K7" s="2592"/>
      <c r="L7" s="2593"/>
      <c r="M7" s="2594"/>
      <c r="N7" s="2595"/>
      <c r="O7" s="2595"/>
      <c r="P7" s="2596"/>
      <c r="Q7" s="2596"/>
      <c r="R7" s="2596"/>
      <c r="S7" s="2596"/>
      <c r="T7" s="2597"/>
      <c r="U7" s="2597"/>
      <c r="V7" s="2598"/>
      <c r="W7" s="2598"/>
      <c r="X7" s="2596"/>
      <c r="Y7" s="2599"/>
    </row>
    <row r="8" spans="1:29">
      <c r="A8" s="2600"/>
      <c r="B8" s="2601">
        <v>5203</v>
      </c>
      <c r="C8" s="2601" t="s">
        <v>101</v>
      </c>
      <c r="D8" s="2602" t="s">
        <v>149</v>
      </c>
      <c r="E8" s="2603"/>
      <c r="F8" s="2590"/>
      <c r="G8" s="2591"/>
      <c r="H8" s="2590"/>
      <c r="I8" s="2591"/>
      <c r="J8" s="2591"/>
      <c r="K8" s="2592"/>
      <c r="L8" s="2593"/>
      <c r="M8" s="2594"/>
      <c r="N8" s="2595"/>
      <c r="O8" s="2595"/>
      <c r="P8" s="2596"/>
      <c r="Q8" s="2596"/>
      <c r="R8" s="2596"/>
      <c r="S8" s="2596"/>
      <c r="T8" s="2597"/>
      <c r="U8" s="2597"/>
      <c r="V8" s="2598"/>
      <c r="W8" s="2598"/>
      <c r="X8" s="2596"/>
      <c r="Y8" s="2599"/>
    </row>
    <row r="9" spans="1:29" ht="33">
      <c r="A9" s="2600"/>
      <c r="B9" s="2600">
        <v>5203007</v>
      </c>
      <c r="C9" s="2600" t="s">
        <v>102</v>
      </c>
      <c r="D9" s="2604" t="s">
        <v>150</v>
      </c>
      <c r="E9" s="2603"/>
      <c r="F9" s="2605"/>
      <c r="G9" s="2606"/>
      <c r="H9" s="2605"/>
      <c r="I9" s="2606"/>
      <c r="J9" s="2606"/>
      <c r="K9" s="2592"/>
      <c r="L9" s="2593"/>
      <c r="M9" s="2594"/>
      <c r="N9" s="2607"/>
      <c r="O9" s="2607"/>
      <c r="P9" s="2608"/>
      <c r="Q9" s="2596"/>
      <c r="R9" s="2596"/>
      <c r="S9" s="2596"/>
      <c r="T9" s="2597"/>
      <c r="U9" s="2597"/>
      <c r="V9" s="2609"/>
      <c r="W9" s="2609"/>
      <c r="X9" s="2596"/>
      <c r="Y9" s="2610"/>
    </row>
    <row r="10" spans="1:29">
      <c r="A10" s="2611"/>
      <c r="B10" s="2611">
        <v>52030070009</v>
      </c>
      <c r="C10" s="2611" t="s">
        <v>103</v>
      </c>
      <c r="D10" s="2612" t="s">
        <v>2974</v>
      </c>
      <c r="E10" s="2603" t="s">
        <v>2975</v>
      </c>
      <c r="F10" s="2613"/>
      <c r="G10" s="2603"/>
      <c r="H10" s="2613">
        <f>H11</f>
        <v>7700</v>
      </c>
      <c r="I10" s="2603"/>
      <c r="J10" s="2603"/>
      <c r="K10" s="2613">
        <f>K11</f>
        <v>7700</v>
      </c>
      <c r="L10" s="2614"/>
      <c r="M10" s="2615"/>
      <c r="N10" s="2616"/>
      <c r="O10" s="2616"/>
      <c r="P10" s="2617"/>
      <c r="Q10" s="2618"/>
      <c r="R10" s="2618"/>
      <c r="S10" s="2618"/>
      <c r="T10" s="2618"/>
      <c r="U10" s="2618"/>
      <c r="V10" s="2619"/>
      <c r="W10" s="2619"/>
      <c r="X10" s="2618"/>
      <c r="Y10" s="2620"/>
    </row>
    <row r="11" spans="1:29">
      <c r="A11" s="3181">
        <v>4151</v>
      </c>
      <c r="B11" s="3181"/>
      <c r="C11" s="3181" t="s">
        <v>109</v>
      </c>
      <c r="D11" s="3182" t="s">
        <v>2976</v>
      </c>
      <c r="E11" s="2603" t="s">
        <v>2977</v>
      </c>
      <c r="F11" s="2613"/>
      <c r="G11" s="2603"/>
      <c r="H11" s="2613">
        <f>H12+H13</f>
        <v>7700</v>
      </c>
      <c r="I11" s="2603"/>
      <c r="J11" s="2603"/>
      <c r="K11" s="2613">
        <f>K12+K13</f>
        <v>7700</v>
      </c>
      <c r="L11" s="2621">
        <f>L12+L13</f>
        <v>1</v>
      </c>
      <c r="M11" s="2613">
        <f>+M12+M13</f>
        <v>470</v>
      </c>
      <c r="N11" s="2622"/>
      <c r="O11" s="2622"/>
      <c r="P11" s="2623">
        <f>P12+P13</f>
        <v>2135480878</v>
      </c>
      <c r="Q11" s="2624">
        <f>Q12+Q13</f>
        <v>2135480878</v>
      </c>
      <c r="R11" s="2624">
        <f>R12+R13</f>
        <v>698239000</v>
      </c>
      <c r="S11" s="2625">
        <f>S12+S13</f>
        <v>250021000</v>
      </c>
      <c r="T11" s="2626">
        <f>IF(Q11&gt;0,R11/Q11,0)</f>
        <v>0.32697038273362616</v>
      </c>
      <c r="U11" s="2626">
        <f>+IF(R11&gt;0,S11/R11,0)</f>
        <v>0.35807366818524888</v>
      </c>
      <c r="V11" s="2619"/>
      <c r="W11" s="2619"/>
      <c r="X11" s="2618"/>
      <c r="Y11" s="2620"/>
    </row>
    <row r="12" spans="1:29" ht="175.5">
      <c r="A12" s="3181"/>
      <c r="B12" s="3181"/>
      <c r="C12" s="3181"/>
      <c r="D12" s="3182"/>
      <c r="E12" s="2603" t="s">
        <v>2978</v>
      </c>
      <c r="F12" s="2613"/>
      <c r="G12" s="3181" t="s">
        <v>2979</v>
      </c>
      <c r="H12" s="2613">
        <f>K12</f>
        <v>3500</v>
      </c>
      <c r="I12" s="2603" t="s">
        <v>2980</v>
      </c>
      <c r="J12" s="2603" t="s">
        <v>2981</v>
      </c>
      <c r="K12" s="2613">
        <v>3500</v>
      </c>
      <c r="L12" s="2621">
        <v>0.6</v>
      </c>
      <c r="M12" s="2615">
        <v>470</v>
      </c>
      <c r="N12" s="2622">
        <f>+((M12/K12))</f>
        <v>0.13428571428571429</v>
      </c>
      <c r="O12" s="3183">
        <f>IF(Q11&gt;0,((M12/K12)*L12)+((M13/K13)*L13),"na")</f>
        <v>8.0571428571428572E-2</v>
      </c>
      <c r="P12" s="2625">
        <v>1270923975</v>
      </c>
      <c r="Q12" s="2625">
        <v>1270923975</v>
      </c>
      <c r="R12" s="2625">
        <v>633239000</v>
      </c>
      <c r="S12" s="2625">
        <v>250021000</v>
      </c>
      <c r="T12" s="2626">
        <f>IF(Q12&gt;0,R12/Q12,0)</f>
        <v>0.49825088868907363</v>
      </c>
      <c r="U12" s="2626">
        <f>+IF(R12&gt;0,S12/R12,0)</f>
        <v>0.39482880871203446</v>
      </c>
      <c r="V12" s="2619">
        <v>45314</v>
      </c>
      <c r="W12" s="2619">
        <v>45656</v>
      </c>
      <c r="X12" s="2617" t="s">
        <v>5414</v>
      </c>
      <c r="Y12" s="3180" t="s">
        <v>2982</v>
      </c>
    </row>
    <row r="13" spans="1:29" ht="54">
      <c r="A13" s="3181"/>
      <c r="B13" s="3181"/>
      <c r="C13" s="3181"/>
      <c r="D13" s="3182"/>
      <c r="E13" s="2603" t="s">
        <v>2983</v>
      </c>
      <c r="F13" s="2613"/>
      <c r="G13" s="3181"/>
      <c r="H13" s="2613">
        <f>K13</f>
        <v>4200</v>
      </c>
      <c r="I13" s="2603" t="s">
        <v>2984</v>
      </c>
      <c r="J13" s="2603" t="s">
        <v>2985</v>
      </c>
      <c r="K13" s="2627">
        <f>0.7*1000*6</f>
        <v>4200</v>
      </c>
      <c r="L13" s="2621">
        <v>0.4</v>
      </c>
      <c r="M13" s="2615">
        <v>0</v>
      </c>
      <c r="N13" s="2622">
        <f>+((M13/K13))</f>
        <v>0</v>
      </c>
      <c r="O13" s="3183"/>
      <c r="P13" s="2615">
        <v>864556903</v>
      </c>
      <c r="Q13" s="2625">
        <v>864556903</v>
      </c>
      <c r="R13" s="2625">
        <v>65000000</v>
      </c>
      <c r="S13" s="2618">
        <v>0</v>
      </c>
      <c r="T13" s="2626">
        <f>IF(Q13&gt;0,R13/Q13,0)</f>
        <v>7.5183021238337158E-2</v>
      </c>
      <c r="U13" s="2626">
        <f>+IF(R13&gt;0,S13/R13,0)</f>
        <v>0</v>
      </c>
      <c r="V13" s="2619">
        <v>45314</v>
      </c>
      <c r="W13" s="2619">
        <v>45656</v>
      </c>
      <c r="X13" s="2617" t="s">
        <v>5415</v>
      </c>
      <c r="Y13" s="3180"/>
    </row>
    <row r="14" spans="1:29">
      <c r="A14" s="2587"/>
      <c r="B14" s="2587">
        <v>53</v>
      </c>
      <c r="C14" s="2587" t="s">
        <v>100</v>
      </c>
      <c r="D14" s="2588" t="s">
        <v>175</v>
      </c>
      <c r="E14" s="2589"/>
      <c r="F14" s="2628"/>
      <c r="G14" s="2589"/>
      <c r="H14" s="2628"/>
      <c r="I14" s="2589"/>
      <c r="J14" s="2589"/>
      <c r="K14" s="2628"/>
      <c r="L14" s="2629"/>
      <c r="M14" s="2615"/>
      <c r="N14" s="2617"/>
      <c r="O14" s="2617"/>
      <c r="P14" s="2618"/>
      <c r="Q14" s="2625"/>
      <c r="R14" s="2618"/>
      <c r="S14" s="2618"/>
      <c r="T14" s="2618"/>
      <c r="U14" s="2618"/>
      <c r="V14" s="2630"/>
      <c r="W14" s="2630"/>
      <c r="X14" s="2618"/>
      <c r="Y14" s="2631"/>
    </row>
    <row r="15" spans="1:29" ht="31.5">
      <c r="A15" s="2601"/>
      <c r="B15" s="2601">
        <v>5301</v>
      </c>
      <c r="C15" s="2601" t="s">
        <v>101</v>
      </c>
      <c r="D15" s="2602" t="s">
        <v>2986</v>
      </c>
      <c r="E15" s="2603"/>
      <c r="F15" s="2613"/>
      <c r="G15" s="2603"/>
      <c r="H15" s="2613"/>
      <c r="I15" s="2603"/>
      <c r="J15" s="2603"/>
      <c r="K15" s="2613"/>
      <c r="L15" s="2614"/>
      <c r="M15" s="2615"/>
      <c r="N15" s="2617"/>
      <c r="O15" s="2617"/>
      <c r="P15" s="2618"/>
      <c r="Q15" s="2625"/>
      <c r="R15" s="2618"/>
      <c r="S15" s="2618"/>
      <c r="T15" s="2618"/>
      <c r="U15" s="2618"/>
      <c r="V15" s="2619"/>
      <c r="W15" s="2619"/>
      <c r="X15" s="2618"/>
      <c r="Y15" s="2620"/>
    </row>
    <row r="16" spans="1:29">
      <c r="A16" s="2600"/>
      <c r="B16" s="2600">
        <v>5301004</v>
      </c>
      <c r="C16" s="2600" t="s">
        <v>102</v>
      </c>
      <c r="D16" s="2604" t="s">
        <v>871</v>
      </c>
      <c r="E16" s="2603"/>
      <c r="F16" s="2613"/>
      <c r="G16" s="2603"/>
      <c r="H16" s="2613"/>
      <c r="I16" s="2603"/>
      <c r="J16" s="2603"/>
      <c r="K16" s="2613"/>
      <c r="L16" s="2614"/>
      <c r="M16" s="2615"/>
      <c r="N16" s="2617"/>
      <c r="O16" s="2617"/>
      <c r="P16" s="2618"/>
      <c r="Q16" s="2625"/>
      <c r="R16" s="2618"/>
      <c r="S16" s="2618"/>
      <c r="T16" s="2618"/>
      <c r="U16" s="2618"/>
      <c r="V16" s="2619"/>
      <c r="W16" s="2619"/>
      <c r="X16" s="2618"/>
      <c r="Y16" s="2620"/>
    </row>
    <row r="17" spans="1:25" ht="25.5">
      <c r="A17" s="2611"/>
      <c r="B17" s="2611">
        <v>53010040006</v>
      </c>
      <c r="C17" s="2611" t="s">
        <v>103</v>
      </c>
      <c r="D17" s="2612" t="s">
        <v>2987</v>
      </c>
      <c r="E17" s="2603" t="s">
        <v>2988</v>
      </c>
      <c r="F17" s="2613"/>
      <c r="G17" s="2603"/>
      <c r="H17" s="2613">
        <f>H18</f>
        <v>250</v>
      </c>
      <c r="I17" s="2603"/>
      <c r="J17" s="2603"/>
      <c r="K17" s="2613">
        <f>K18</f>
        <v>250</v>
      </c>
      <c r="L17" s="2614"/>
      <c r="M17" s="2615"/>
      <c r="N17" s="2617"/>
      <c r="O17" s="2617"/>
      <c r="P17" s="2618"/>
      <c r="Q17" s="2625"/>
      <c r="R17" s="2618"/>
      <c r="S17" s="2618"/>
      <c r="T17" s="2626"/>
      <c r="U17" s="2626"/>
      <c r="V17" s="2619"/>
      <c r="W17" s="2619"/>
      <c r="X17" s="2618"/>
      <c r="Y17" s="2620"/>
    </row>
    <row r="18" spans="1:25">
      <c r="A18" s="3181">
        <v>4151</v>
      </c>
      <c r="B18" s="3181"/>
      <c r="C18" s="3181" t="s">
        <v>109</v>
      </c>
      <c r="D18" s="3182" t="s">
        <v>2989</v>
      </c>
      <c r="E18" s="2603" t="s">
        <v>2990</v>
      </c>
      <c r="F18" s="2613"/>
      <c r="G18" s="2603"/>
      <c r="H18" s="2613">
        <f>H19</f>
        <v>250</v>
      </c>
      <c r="I18" s="2603"/>
      <c r="J18" s="2603"/>
      <c r="K18" s="2613">
        <f>K19</f>
        <v>250</v>
      </c>
      <c r="L18" s="2621">
        <f>L19</f>
        <v>1</v>
      </c>
      <c r="M18" s="2618">
        <v>0</v>
      </c>
      <c r="N18" s="2632"/>
      <c r="O18" s="2626"/>
      <c r="P18" s="2625">
        <f>P19</f>
        <v>1781288527</v>
      </c>
      <c r="Q18" s="2625">
        <f>Q19</f>
        <v>1781288527</v>
      </c>
      <c r="R18" s="2625">
        <f>R19</f>
        <v>452144000</v>
      </c>
      <c r="S18" s="2625">
        <f>S19</f>
        <v>0</v>
      </c>
      <c r="T18" s="2626">
        <f>+IF(Q18&gt;0,R18/Q18,0)</f>
        <v>0.2538297379377889</v>
      </c>
      <c r="U18" s="2626">
        <f t="shared" ref="U18:U19" si="0">+IF(R18&gt;0,S18/R18,0)</f>
        <v>0</v>
      </c>
      <c r="V18" s="2619"/>
      <c r="W18" s="2619"/>
      <c r="X18" s="2618"/>
      <c r="Y18" s="2620"/>
    </row>
    <row r="19" spans="1:25" ht="81">
      <c r="A19" s="3181"/>
      <c r="B19" s="3181"/>
      <c r="C19" s="3181"/>
      <c r="D19" s="3182"/>
      <c r="E19" s="2603" t="s">
        <v>2991</v>
      </c>
      <c r="F19" s="2613"/>
      <c r="G19" s="2603" t="s">
        <v>2992</v>
      </c>
      <c r="H19" s="2613">
        <f>K19</f>
        <v>250</v>
      </c>
      <c r="I19" s="2603" t="s">
        <v>2993</v>
      </c>
      <c r="J19" s="2603" t="s">
        <v>2994</v>
      </c>
      <c r="K19" s="2613">
        <v>250</v>
      </c>
      <c r="L19" s="2621">
        <v>1</v>
      </c>
      <c r="M19" s="2618">
        <v>0</v>
      </c>
      <c r="N19" s="2632">
        <f>+M19/K19</f>
        <v>0</v>
      </c>
      <c r="O19" s="2626">
        <f>IF(Q19&gt;0, N19,"na")</f>
        <v>0</v>
      </c>
      <c r="P19" s="2625">
        <v>1781288527</v>
      </c>
      <c r="Q19" s="2625">
        <v>1781288527</v>
      </c>
      <c r="R19" s="2625">
        <v>452144000</v>
      </c>
      <c r="S19" s="2625">
        <v>0</v>
      </c>
      <c r="T19" s="2626">
        <f>+IF(Q19&gt;0,R19/Q19,0)</f>
        <v>0.2538297379377889</v>
      </c>
      <c r="U19" s="2626">
        <f t="shared" si="0"/>
        <v>0</v>
      </c>
      <c r="V19" s="2619">
        <v>45314</v>
      </c>
      <c r="W19" s="2619">
        <v>45656</v>
      </c>
      <c r="X19" s="2617" t="s">
        <v>5416</v>
      </c>
      <c r="Y19" s="2620" t="s">
        <v>2982</v>
      </c>
    </row>
    <row r="20" spans="1:25">
      <c r="A20" s="2600"/>
      <c r="B20" s="2601">
        <v>5304</v>
      </c>
      <c r="C20" s="2600" t="s">
        <v>101</v>
      </c>
      <c r="D20" s="2604" t="s">
        <v>2995</v>
      </c>
      <c r="E20" s="2603"/>
      <c r="F20" s="2613"/>
      <c r="G20" s="2603"/>
      <c r="H20" s="2613"/>
      <c r="I20" s="2603"/>
      <c r="J20" s="2603"/>
      <c r="K20" s="2613"/>
      <c r="L20" s="2614"/>
      <c r="M20" s="2618"/>
      <c r="N20" s="2618"/>
      <c r="O20" s="2633"/>
      <c r="P20" s="2618"/>
      <c r="Q20" s="2625"/>
      <c r="R20" s="2618"/>
      <c r="S20" s="2618"/>
      <c r="T20" s="2618"/>
      <c r="U20" s="2618"/>
      <c r="V20" s="2634"/>
      <c r="W20" s="2634"/>
      <c r="X20" s="2618"/>
      <c r="Y20" s="2635"/>
    </row>
    <row r="21" spans="1:25">
      <c r="A21" s="2600"/>
      <c r="B21" s="2600">
        <v>5304001</v>
      </c>
      <c r="C21" s="2600" t="s">
        <v>102</v>
      </c>
      <c r="D21" s="2604" t="s">
        <v>2996</v>
      </c>
      <c r="E21" s="2603"/>
      <c r="F21" s="2613"/>
      <c r="G21" s="2603"/>
      <c r="H21" s="2613"/>
      <c r="I21" s="2603"/>
      <c r="J21" s="2603"/>
      <c r="K21" s="2613"/>
      <c r="L21" s="2614"/>
      <c r="M21" s="2618"/>
      <c r="N21" s="2618"/>
      <c r="O21" s="2618"/>
      <c r="P21" s="2618"/>
      <c r="Q21" s="2625"/>
      <c r="R21" s="2618"/>
      <c r="S21" s="2618"/>
      <c r="T21" s="2618"/>
      <c r="U21" s="2618"/>
      <c r="V21" s="2634"/>
      <c r="W21" s="2634"/>
      <c r="X21" s="2618"/>
      <c r="Y21" s="2635"/>
    </row>
    <row r="22" spans="1:25" ht="25.5">
      <c r="A22" s="2611"/>
      <c r="B22" s="2611">
        <v>53040010003</v>
      </c>
      <c r="C22" s="2611" t="s">
        <v>103</v>
      </c>
      <c r="D22" s="2612" t="s">
        <v>2997</v>
      </c>
      <c r="E22" s="2603" t="s">
        <v>2998</v>
      </c>
      <c r="F22" s="2613"/>
      <c r="G22" s="2603"/>
      <c r="H22" s="2613">
        <f>H23</f>
        <v>27</v>
      </c>
      <c r="I22" s="2603"/>
      <c r="J22" s="2603"/>
      <c r="K22" s="2613">
        <f>K23</f>
        <v>27</v>
      </c>
      <c r="L22" s="2614"/>
      <c r="M22" s="2618"/>
      <c r="N22" s="2618"/>
      <c r="O22" s="2618"/>
      <c r="P22" s="2618"/>
      <c r="Q22" s="2625"/>
      <c r="R22" s="2618"/>
      <c r="S22" s="2618"/>
      <c r="T22" s="2618"/>
      <c r="U22" s="2618"/>
      <c r="V22" s="2619"/>
      <c r="W22" s="2619"/>
      <c r="X22" s="2618"/>
      <c r="Y22" s="2620"/>
    </row>
    <row r="23" spans="1:25">
      <c r="A23" s="3181">
        <v>4151</v>
      </c>
      <c r="B23" s="3181"/>
      <c r="C23" s="3181" t="s">
        <v>109</v>
      </c>
      <c r="D23" s="3182" t="s">
        <v>2999</v>
      </c>
      <c r="E23" s="2603" t="s">
        <v>3000</v>
      </c>
      <c r="F23" s="2613"/>
      <c r="G23" s="2603"/>
      <c r="H23" s="2613">
        <f>H24</f>
        <v>27</v>
      </c>
      <c r="I23" s="2603"/>
      <c r="J23" s="2603"/>
      <c r="K23" s="2613">
        <f>K24</f>
        <v>27</v>
      </c>
      <c r="L23" s="2621">
        <f>L24</f>
        <v>1</v>
      </c>
      <c r="M23" s="2618">
        <v>14</v>
      </c>
      <c r="N23" s="2636"/>
      <c r="O23" s="2626"/>
      <c r="P23" s="2625">
        <f>P24</f>
        <v>854192351</v>
      </c>
      <c r="Q23" s="2625">
        <f>Q24</f>
        <v>854192351</v>
      </c>
      <c r="R23" s="2625">
        <f>R24</f>
        <v>203916000</v>
      </c>
      <c r="S23" s="2625">
        <f>S24</f>
        <v>7810000</v>
      </c>
      <c r="T23" s="2637">
        <f>IF(Q23&gt;0,R23/Q23,0)</f>
        <v>0.23872374853424555</v>
      </c>
      <c r="U23" s="2626">
        <f>IF(R24&gt;0,S24/R24,0)</f>
        <v>3.8300084348457206E-2</v>
      </c>
      <c r="V23" s="2619"/>
      <c r="W23" s="2619"/>
      <c r="X23" s="2618"/>
      <c r="Y23" s="2620"/>
    </row>
    <row r="24" spans="1:25" ht="67.5">
      <c r="A24" s="3181"/>
      <c r="B24" s="3181"/>
      <c r="C24" s="3181"/>
      <c r="D24" s="3182"/>
      <c r="E24" s="2603" t="s">
        <v>3001</v>
      </c>
      <c r="F24" s="2613"/>
      <c r="G24" s="2603" t="s">
        <v>3002</v>
      </c>
      <c r="H24" s="2613">
        <f>K24</f>
        <v>27</v>
      </c>
      <c r="I24" s="2603" t="s">
        <v>3003</v>
      </c>
      <c r="J24" s="2603" t="s">
        <v>3004</v>
      </c>
      <c r="K24" s="2613">
        <v>27</v>
      </c>
      <c r="L24" s="2621">
        <v>1</v>
      </c>
      <c r="M24" s="2618">
        <v>14</v>
      </c>
      <c r="N24" s="2636">
        <f>+M24/K24</f>
        <v>0.51851851851851849</v>
      </c>
      <c r="O24" s="2626">
        <f>IF(Q24&gt;0, N24,"na")</f>
        <v>0.51851851851851849</v>
      </c>
      <c r="P24" s="2625">
        <v>854192351</v>
      </c>
      <c r="Q24" s="2625">
        <v>854192351</v>
      </c>
      <c r="R24" s="2625">
        <v>203916000</v>
      </c>
      <c r="S24" s="2625">
        <v>7810000</v>
      </c>
      <c r="T24" s="2626">
        <f>IF(Q24&gt;0,R24/Q24,0)</f>
        <v>0.23872374853424555</v>
      </c>
      <c r="U24" s="2626">
        <f>IF(R24&gt;0,S24/R24,0)</f>
        <v>3.8300084348457206E-2</v>
      </c>
      <c r="V24" s="2619">
        <v>45314</v>
      </c>
      <c r="W24" s="2619">
        <v>45656</v>
      </c>
      <c r="X24" s="2617" t="s">
        <v>5417</v>
      </c>
      <c r="Y24" s="2620" t="s">
        <v>2982</v>
      </c>
    </row>
    <row r="25" spans="1:25">
      <c r="A25" s="2600"/>
      <c r="B25" s="2600">
        <v>5304003</v>
      </c>
      <c r="C25" s="2600" t="s">
        <v>102</v>
      </c>
      <c r="D25" s="2604" t="s">
        <v>3005</v>
      </c>
      <c r="E25" s="2603"/>
      <c r="F25" s="2638"/>
      <c r="G25" s="2603"/>
      <c r="H25" s="2638"/>
      <c r="I25" s="2603"/>
      <c r="J25" s="2603"/>
      <c r="K25" s="2638"/>
      <c r="L25" s="2614"/>
      <c r="M25" s="2618"/>
      <c r="N25" s="2618"/>
      <c r="O25" s="2633"/>
      <c r="P25" s="2618"/>
      <c r="Q25" s="2625"/>
      <c r="R25" s="2618"/>
      <c r="S25" s="2618"/>
      <c r="T25" s="2626"/>
      <c r="U25" s="2626"/>
      <c r="V25" s="2630"/>
      <c r="W25" s="2630"/>
      <c r="X25" s="2618"/>
      <c r="Y25" s="2631"/>
    </row>
    <row r="26" spans="1:25" ht="25.5">
      <c r="A26" s="2611"/>
      <c r="B26" s="2611">
        <v>53040030003</v>
      </c>
      <c r="C26" s="2611" t="s">
        <v>103</v>
      </c>
      <c r="D26" s="2612" t="s">
        <v>3006</v>
      </c>
      <c r="E26" s="2603" t="s">
        <v>3007</v>
      </c>
      <c r="F26" s="2627"/>
      <c r="G26" s="2603"/>
      <c r="H26" s="2627">
        <f>H27</f>
        <v>0</v>
      </c>
      <c r="I26" s="2603"/>
      <c r="J26" s="2603"/>
      <c r="K26" s="2627">
        <f>K27</f>
        <v>0</v>
      </c>
      <c r="L26" s="2614"/>
      <c r="M26" s="2618"/>
      <c r="N26" s="2618"/>
      <c r="O26" s="2618"/>
      <c r="P26" s="2618"/>
      <c r="Q26" s="2625"/>
      <c r="R26" s="2618"/>
      <c r="S26" s="2618"/>
      <c r="T26" s="2618"/>
      <c r="U26" s="2618"/>
      <c r="V26" s="2630"/>
      <c r="W26" s="2630"/>
      <c r="X26" s="2618"/>
      <c r="Y26" s="2631"/>
    </row>
    <row r="27" spans="1:25">
      <c r="A27" s="3181">
        <v>4151</v>
      </c>
      <c r="B27" s="3181"/>
      <c r="C27" s="3181" t="s">
        <v>109</v>
      </c>
      <c r="D27" s="3182" t="s">
        <v>3008</v>
      </c>
      <c r="E27" s="2603" t="s">
        <v>3009</v>
      </c>
      <c r="F27" s="2638"/>
      <c r="G27" s="2603"/>
      <c r="H27" s="2627">
        <f>H28+H29+H30</f>
        <v>0</v>
      </c>
      <c r="I27" s="2603"/>
      <c r="J27" s="2603"/>
      <c r="K27" s="2627">
        <v>0</v>
      </c>
      <c r="L27" s="2621">
        <f>L28+L29+L30</f>
        <v>1</v>
      </c>
      <c r="M27" s="2618">
        <v>0</v>
      </c>
      <c r="N27" s="2636">
        <f>+N28</f>
        <v>0</v>
      </c>
      <c r="O27" s="2632"/>
      <c r="P27" s="2639">
        <f>P28+P29+P30</f>
        <v>85994999224</v>
      </c>
      <c r="Q27" s="2624">
        <f>Q28+Q29+Q30</f>
        <v>85994999224</v>
      </c>
      <c r="R27" s="2625">
        <f>R28+R29+R30</f>
        <v>47234691315</v>
      </c>
      <c r="S27" s="2625">
        <f>S28+S29+S30</f>
        <v>0</v>
      </c>
      <c r="T27" s="2637">
        <f>IF(Q27&gt;0,R27/Q27,0)</f>
        <v>0.54927253609204596</v>
      </c>
      <c r="U27" s="2626">
        <f>IF(R28&gt;0,S28/R28,0)</f>
        <v>0</v>
      </c>
      <c r="V27" s="2619"/>
      <c r="W27" s="2619"/>
      <c r="X27" s="2618"/>
      <c r="Y27" s="2631"/>
    </row>
    <row r="28" spans="1:25" ht="27">
      <c r="A28" s="3181"/>
      <c r="B28" s="3181"/>
      <c r="C28" s="3181"/>
      <c r="D28" s="3182"/>
      <c r="E28" s="2603" t="s">
        <v>3010</v>
      </c>
      <c r="F28" s="2627"/>
      <c r="G28" s="3181" t="s">
        <v>3011</v>
      </c>
      <c r="H28" s="2627">
        <v>0</v>
      </c>
      <c r="I28" s="2603" t="s">
        <v>3012</v>
      </c>
      <c r="J28" s="2603" t="s">
        <v>3013</v>
      </c>
      <c r="K28" s="2627">
        <v>2</v>
      </c>
      <c r="L28" s="2621">
        <v>0.3</v>
      </c>
      <c r="M28" s="2618">
        <v>0</v>
      </c>
      <c r="N28" s="2636">
        <f>+M28/K28</f>
        <v>0</v>
      </c>
      <c r="O28" s="3184">
        <f>IF(Q27&gt;0,((M28/K28)*L28)+((M29/K29)*L29)+((M30/K30)*L30),"na")</f>
        <v>0</v>
      </c>
      <c r="P28" s="2623">
        <v>25432833339</v>
      </c>
      <c r="Q28" s="2623">
        <v>25432833339</v>
      </c>
      <c r="R28" s="2625">
        <v>25432833339</v>
      </c>
      <c r="S28" s="2625">
        <v>0</v>
      </c>
      <c r="T28" s="2626">
        <f>IF(Q28&gt;0,R28/Q28,0)</f>
        <v>1</v>
      </c>
      <c r="U28" s="2626">
        <f>IF(R29&gt;0,S29/R29,0)</f>
        <v>0</v>
      </c>
      <c r="V28" s="2619">
        <v>45314</v>
      </c>
      <c r="W28" s="2619">
        <v>45656</v>
      </c>
      <c r="X28" s="3185" t="s">
        <v>5418</v>
      </c>
      <c r="Y28" s="3180" t="s">
        <v>3014</v>
      </c>
    </row>
    <row r="29" spans="1:25" ht="27">
      <c r="A29" s="3181"/>
      <c r="B29" s="3181"/>
      <c r="C29" s="3181"/>
      <c r="D29" s="3182"/>
      <c r="E29" s="2603" t="s">
        <v>3015</v>
      </c>
      <c r="F29" s="2627"/>
      <c r="G29" s="3181"/>
      <c r="H29" s="2627">
        <v>0</v>
      </c>
      <c r="I29" s="2603" t="s">
        <v>3016</v>
      </c>
      <c r="J29" s="2603" t="s">
        <v>2985</v>
      </c>
      <c r="K29" s="2627">
        <v>14</v>
      </c>
      <c r="L29" s="2621">
        <v>0.25</v>
      </c>
      <c r="M29" s="2618">
        <v>0</v>
      </c>
      <c r="N29" s="2636">
        <f>+M29/K29</f>
        <v>0</v>
      </c>
      <c r="O29" s="3184"/>
      <c r="P29" s="2623">
        <v>21801857976</v>
      </c>
      <c r="Q29" s="2623">
        <v>21801857976</v>
      </c>
      <c r="R29" s="2625">
        <v>21801857976</v>
      </c>
      <c r="S29" s="2625">
        <v>0</v>
      </c>
      <c r="T29" s="2626">
        <f>+IF(Q29&gt;0,R29/Q29,0)</f>
        <v>1</v>
      </c>
      <c r="U29" s="2626">
        <f>+IF(R29&gt;0,S29/R29,0)</f>
        <v>0</v>
      </c>
      <c r="V29" s="2619">
        <v>45314</v>
      </c>
      <c r="W29" s="2619">
        <v>45656</v>
      </c>
      <c r="X29" s="3185"/>
      <c r="Y29" s="3180"/>
    </row>
    <row r="30" spans="1:25" ht="27">
      <c r="A30" s="3181"/>
      <c r="B30" s="3181"/>
      <c r="C30" s="3181"/>
      <c r="D30" s="3182"/>
      <c r="E30" s="2603" t="s">
        <v>3017</v>
      </c>
      <c r="F30" s="2627"/>
      <c r="G30" s="3181"/>
      <c r="H30" s="2627">
        <v>0</v>
      </c>
      <c r="I30" s="2603" t="s">
        <v>3018</v>
      </c>
      <c r="J30" s="2603" t="s">
        <v>3019</v>
      </c>
      <c r="K30" s="2627">
        <v>1</v>
      </c>
      <c r="L30" s="2621">
        <v>0.45</v>
      </c>
      <c r="M30" s="2618">
        <v>0</v>
      </c>
      <c r="N30" s="2636">
        <f>+M30/K30</f>
        <v>0</v>
      </c>
      <c r="O30" s="3184"/>
      <c r="P30" s="2623">
        <v>38760307909</v>
      </c>
      <c r="Q30" s="2623">
        <v>38760307909</v>
      </c>
      <c r="R30" s="2625">
        <v>0</v>
      </c>
      <c r="S30" s="2625">
        <v>0</v>
      </c>
      <c r="T30" s="2626">
        <f>+IF(Q30&gt;0,R30/Q30,0)</f>
        <v>0</v>
      </c>
      <c r="U30" s="2626">
        <f t="shared" ref="U30" si="1">+IF(R30&gt;0,S30/R30,0)</f>
        <v>0</v>
      </c>
      <c r="V30" s="2619"/>
      <c r="W30" s="2619"/>
      <c r="X30" s="2640"/>
      <c r="Y30" s="3180"/>
    </row>
    <row r="31" spans="1:25">
      <c r="A31" s="2600"/>
      <c r="B31" s="2600">
        <v>5304004</v>
      </c>
      <c r="C31" s="2600" t="s">
        <v>102</v>
      </c>
      <c r="D31" s="2604" t="s">
        <v>3020</v>
      </c>
      <c r="E31" s="2603"/>
      <c r="F31" s="2638"/>
      <c r="G31" s="2603"/>
      <c r="H31" s="2638"/>
      <c r="I31" s="2603"/>
      <c r="J31" s="2603"/>
      <c r="K31" s="2638"/>
      <c r="L31" s="2621"/>
      <c r="M31" s="2618"/>
      <c r="N31" s="2618"/>
      <c r="O31" s="2618"/>
      <c r="P31" s="2618"/>
      <c r="Q31" s="2625"/>
      <c r="R31" s="2618"/>
      <c r="S31" s="2618"/>
      <c r="T31" s="2618"/>
      <c r="U31" s="2618"/>
      <c r="V31" s="2619"/>
      <c r="W31" s="2619"/>
      <c r="X31" s="2618"/>
      <c r="Y31" s="2620"/>
    </row>
    <row r="32" spans="1:25" ht="25.5">
      <c r="A32" s="2611"/>
      <c r="B32" s="2611">
        <v>53040040003</v>
      </c>
      <c r="C32" s="2611" t="s">
        <v>103</v>
      </c>
      <c r="D32" s="2612" t="s">
        <v>3021</v>
      </c>
      <c r="E32" s="2603" t="s">
        <v>3007</v>
      </c>
      <c r="F32" s="2638"/>
      <c r="G32" s="2603"/>
      <c r="H32" s="2638">
        <f>+H33+H35+H37+H39+H41+H44+H46+H49+H51+H53</f>
        <v>15.559000000000001</v>
      </c>
      <c r="I32" s="2603"/>
      <c r="J32" s="2603"/>
      <c r="K32" s="2638"/>
      <c r="L32" s="2614"/>
      <c r="M32" s="2618"/>
      <c r="N32" s="2618"/>
      <c r="O32" s="2618"/>
      <c r="P32" s="2618"/>
      <c r="Q32" s="2625"/>
      <c r="R32" s="2618"/>
      <c r="S32" s="2618"/>
      <c r="T32" s="2626"/>
      <c r="U32" s="2626"/>
      <c r="V32" s="2619"/>
      <c r="W32" s="2619"/>
      <c r="X32" s="2618"/>
      <c r="Y32" s="2620"/>
    </row>
    <row r="33" spans="1:25">
      <c r="A33" s="3181">
        <v>4151</v>
      </c>
      <c r="B33" s="3181"/>
      <c r="C33" s="3181" t="s">
        <v>109</v>
      </c>
      <c r="D33" s="3182" t="s">
        <v>3022</v>
      </c>
      <c r="E33" s="2603" t="s">
        <v>3023</v>
      </c>
      <c r="F33" s="2638"/>
      <c r="G33" s="2603"/>
      <c r="H33" s="2638">
        <f>H34</f>
        <v>6.7220000000000004</v>
      </c>
      <c r="I33" s="2603"/>
      <c r="J33" s="2603"/>
      <c r="K33" s="2638">
        <f>K34</f>
        <v>6.7220000000000004</v>
      </c>
      <c r="L33" s="2614">
        <f>L34</f>
        <v>1</v>
      </c>
      <c r="M33" s="2618">
        <v>0</v>
      </c>
      <c r="N33" s="2636"/>
      <c r="O33" s="2626"/>
      <c r="P33" s="2625">
        <f>P34</f>
        <v>1581246665</v>
      </c>
      <c r="Q33" s="2625">
        <f>Q34</f>
        <v>2360110710</v>
      </c>
      <c r="R33" s="2625">
        <f>R34</f>
        <v>233827861</v>
      </c>
      <c r="S33" s="2625">
        <f>S34</f>
        <v>177089267</v>
      </c>
      <c r="T33" s="2626">
        <f t="shared" ref="T33:U40" si="2">+IF(Q33&gt;0,R33/Q33,0)</f>
        <v>9.9074954411778424E-2</v>
      </c>
      <c r="U33" s="2626">
        <f t="shared" si="2"/>
        <v>0.75734887298139375</v>
      </c>
      <c r="V33" s="2641"/>
      <c r="W33" s="2619"/>
      <c r="X33" s="2618"/>
      <c r="Y33" s="2620"/>
    </row>
    <row r="34" spans="1:25" ht="94.5">
      <c r="A34" s="3181"/>
      <c r="B34" s="3181"/>
      <c r="C34" s="3181"/>
      <c r="D34" s="3182"/>
      <c r="E34" s="2642" t="s">
        <v>3024</v>
      </c>
      <c r="F34" s="2643"/>
      <c r="G34" s="2642" t="s">
        <v>3025</v>
      </c>
      <c r="H34" s="2643">
        <f>K34</f>
        <v>6.7220000000000004</v>
      </c>
      <c r="I34" s="2642" t="s">
        <v>3026</v>
      </c>
      <c r="J34" s="2642" t="s">
        <v>3027</v>
      </c>
      <c r="K34" s="2643">
        <v>6.7220000000000004</v>
      </c>
      <c r="L34" s="2644">
        <v>1</v>
      </c>
      <c r="M34" s="2645">
        <v>0</v>
      </c>
      <c r="N34" s="2646">
        <f>+M34/K34</f>
        <v>0</v>
      </c>
      <c r="O34" s="2647">
        <f>IF(Q34&gt;0, N34,"na")</f>
        <v>0</v>
      </c>
      <c r="P34" s="2648">
        <v>1581246665</v>
      </c>
      <c r="Q34" s="2648">
        <v>2360110710</v>
      </c>
      <c r="R34" s="2648">
        <v>233827861</v>
      </c>
      <c r="S34" s="2648">
        <v>177089267</v>
      </c>
      <c r="T34" s="2647">
        <f t="shared" si="2"/>
        <v>9.9074954411778424E-2</v>
      </c>
      <c r="U34" s="2647">
        <f>+IF(R34&gt;0,S34/R34,0)</f>
        <v>0.75734887298139375</v>
      </c>
      <c r="V34" s="2649">
        <v>45314</v>
      </c>
      <c r="W34" s="2649">
        <v>45656</v>
      </c>
      <c r="X34" s="2650" t="s">
        <v>5784</v>
      </c>
      <c r="Y34" s="2651" t="s">
        <v>2982</v>
      </c>
    </row>
    <row r="35" spans="1:25">
      <c r="A35" s="3181">
        <v>4151</v>
      </c>
      <c r="B35" s="3181"/>
      <c r="C35" s="3181" t="s">
        <v>109</v>
      </c>
      <c r="D35" s="3182" t="s">
        <v>3028</v>
      </c>
      <c r="E35" s="2603" t="s">
        <v>3029</v>
      </c>
      <c r="F35" s="2638"/>
      <c r="G35" s="2603"/>
      <c r="H35" s="2638">
        <f>H36</f>
        <v>0.1</v>
      </c>
      <c r="I35" s="2603"/>
      <c r="J35" s="2603"/>
      <c r="K35" s="2652">
        <f>K36</f>
        <v>0.1</v>
      </c>
      <c r="L35" s="2614">
        <f>L36</f>
        <v>1</v>
      </c>
      <c r="M35" s="2618">
        <v>0</v>
      </c>
      <c r="N35" s="2636"/>
      <c r="O35" s="2626"/>
      <c r="P35" s="2625">
        <f>P36</f>
        <v>46519623</v>
      </c>
      <c r="Q35" s="2625">
        <f>Q36</f>
        <v>46519623</v>
      </c>
      <c r="R35" s="2625">
        <f>R36</f>
        <v>0</v>
      </c>
      <c r="S35" s="2625">
        <f>S36</f>
        <v>0</v>
      </c>
      <c r="T35" s="2626">
        <f>IF(Q35&gt;0,R35/Q35,0)</f>
        <v>0</v>
      </c>
      <c r="U35" s="2626">
        <f>IF(R35&gt;0,S35/R35,0)</f>
        <v>0</v>
      </c>
      <c r="V35" s="2619"/>
      <c r="W35" s="2619"/>
      <c r="X35" s="2617"/>
      <c r="Y35" s="2620"/>
    </row>
    <row r="36" spans="1:25" ht="54">
      <c r="A36" s="3181"/>
      <c r="B36" s="3181"/>
      <c r="C36" s="3181"/>
      <c r="D36" s="3182"/>
      <c r="E36" s="2603" t="s">
        <v>3030</v>
      </c>
      <c r="F36" s="2638"/>
      <c r="G36" s="2603" t="s">
        <v>3031</v>
      </c>
      <c r="H36" s="2652">
        <f>K36</f>
        <v>0.1</v>
      </c>
      <c r="I36" s="2603" t="s">
        <v>3032</v>
      </c>
      <c r="J36" s="2603" t="s">
        <v>3033</v>
      </c>
      <c r="K36" s="2652">
        <v>0.1</v>
      </c>
      <c r="L36" s="2614">
        <v>1</v>
      </c>
      <c r="M36" s="2618">
        <v>0</v>
      </c>
      <c r="N36" s="2636">
        <f>+M36/K36</f>
        <v>0</v>
      </c>
      <c r="O36" s="2626">
        <f>IF(Q36&gt;0, N36,"na")</f>
        <v>0</v>
      </c>
      <c r="P36" s="2625">
        <v>46519623</v>
      </c>
      <c r="Q36" s="2625">
        <v>46519623</v>
      </c>
      <c r="R36" s="2625">
        <v>0</v>
      </c>
      <c r="S36" s="2625">
        <v>0</v>
      </c>
      <c r="T36" s="2626">
        <f>IF(Q36&gt;0,R36/Q36,0)</f>
        <v>0</v>
      </c>
      <c r="U36" s="2626">
        <f>IF(R36&gt;0,S36/R36,0)</f>
        <v>0</v>
      </c>
      <c r="V36" s="2619"/>
      <c r="W36" s="2619"/>
      <c r="X36" s="2617"/>
      <c r="Y36" s="2620" t="s">
        <v>2982</v>
      </c>
    </row>
    <row r="37" spans="1:25">
      <c r="A37" s="3181">
        <v>4151</v>
      </c>
      <c r="B37" s="3181"/>
      <c r="C37" s="3181" t="s">
        <v>109</v>
      </c>
      <c r="D37" s="3182" t="s">
        <v>3034</v>
      </c>
      <c r="E37" s="2603" t="s">
        <v>3035</v>
      </c>
      <c r="F37" s="2638"/>
      <c r="G37" s="2603"/>
      <c r="H37" s="2638">
        <f>H38</f>
        <v>2.012</v>
      </c>
      <c r="I37" s="2603"/>
      <c r="J37" s="2603"/>
      <c r="K37" s="2638">
        <f>K38</f>
        <v>2.012</v>
      </c>
      <c r="L37" s="2614">
        <f>L38</f>
        <v>1</v>
      </c>
      <c r="M37" s="2618">
        <v>0</v>
      </c>
      <c r="N37" s="2636"/>
      <c r="O37" s="2626"/>
      <c r="P37" s="2625">
        <f>P38</f>
        <v>354830085</v>
      </c>
      <c r="Q37" s="2625">
        <f>Q38</f>
        <v>354830085</v>
      </c>
      <c r="R37" s="2625">
        <f>R38</f>
        <v>0</v>
      </c>
      <c r="S37" s="2625">
        <f>S38</f>
        <v>0</v>
      </c>
      <c r="T37" s="2626">
        <f t="shared" si="2"/>
        <v>0</v>
      </c>
      <c r="U37" s="2626">
        <f t="shared" si="2"/>
        <v>0</v>
      </c>
      <c r="V37" s="2641"/>
      <c r="W37" s="2641"/>
      <c r="X37" s="2617"/>
      <c r="Y37" s="2620"/>
    </row>
    <row r="38" spans="1:25" ht="67.5">
      <c r="A38" s="3181"/>
      <c r="B38" s="3181"/>
      <c r="C38" s="3181"/>
      <c r="D38" s="3182"/>
      <c r="E38" s="2603" t="s">
        <v>3036</v>
      </c>
      <c r="F38" s="2638"/>
      <c r="G38" s="2603" t="s">
        <v>3037</v>
      </c>
      <c r="H38" s="2638">
        <f>K38</f>
        <v>2.012</v>
      </c>
      <c r="I38" s="2603" t="s">
        <v>3038</v>
      </c>
      <c r="J38" s="2603" t="s">
        <v>3033</v>
      </c>
      <c r="K38" s="2638">
        <v>2.012</v>
      </c>
      <c r="L38" s="2614">
        <v>1</v>
      </c>
      <c r="M38" s="2618">
        <v>0</v>
      </c>
      <c r="N38" s="2636">
        <f>+M38/K38</f>
        <v>0</v>
      </c>
      <c r="O38" s="2626">
        <f>IF(Q38&gt;0, N38,"na")</f>
        <v>0</v>
      </c>
      <c r="P38" s="2625">
        <v>354830085</v>
      </c>
      <c r="Q38" s="2625">
        <v>354830085</v>
      </c>
      <c r="R38" s="2625">
        <v>0</v>
      </c>
      <c r="S38" s="2625">
        <v>0</v>
      </c>
      <c r="T38" s="2626">
        <f t="shared" si="2"/>
        <v>0</v>
      </c>
      <c r="U38" s="2626">
        <f>+IF(R38&gt;0,S38/R38,0)</f>
        <v>0</v>
      </c>
      <c r="V38" s="2619"/>
      <c r="W38" s="2619"/>
      <c r="X38" s="2617"/>
      <c r="Y38" s="2620" t="s">
        <v>2982</v>
      </c>
    </row>
    <row r="39" spans="1:25">
      <c r="A39" s="3181">
        <v>4151</v>
      </c>
      <c r="B39" s="3181"/>
      <c r="C39" s="3181" t="s">
        <v>109</v>
      </c>
      <c r="D39" s="3182" t="s">
        <v>3039</v>
      </c>
      <c r="E39" s="2603" t="s">
        <v>3040</v>
      </c>
      <c r="F39" s="2638"/>
      <c r="G39" s="2603"/>
      <c r="H39" s="2638">
        <f>H40</f>
        <v>1.27</v>
      </c>
      <c r="I39" s="2603"/>
      <c r="J39" s="2603"/>
      <c r="K39" s="2638">
        <f>K40</f>
        <v>1.27</v>
      </c>
      <c r="L39" s="2614">
        <f>L40</f>
        <v>1</v>
      </c>
      <c r="M39" s="2618">
        <v>0</v>
      </c>
      <c r="N39" s="2636"/>
      <c r="O39" s="2626"/>
      <c r="P39" s="2625">
        <f>P40</f>
        <v>200339223</v>
      </c>
      <c r="Q39" s="2625">
        <f>Q40</f>
        <v>200339223</v>
      </c>
      <c r="R39" s="2625">
        <f>R40</f>
        <v>0</v>
      </c>
      <c r="S39" s="2625">
        <f>S40</f>
        <v>0</v>
      </c>
      <c r="T39" s="2626">
        <f t="shared" si="2"/>
        <v>0</v>
      </c>
      <c r="U39" s="2626">
        <f t="shared" si="2"/>
        <v>0</v>
      </c>
      <c r="V39" s="2619"/>
      <c r="W39" s="2619"/>
      <c r="X39" s="2617"/>
      <c r="Y39" s="2620"/>
    </row>
    <row r="40" spans="1:25" ht="67.5">
      <c r="A40" s="3181"/>
      <c r="B40" s="3181"/>
      <c r="C40" s="3181"/>
      <c r="D40" s="3182"/>
      <c r="E40" s="2603" t="s">
        <v>3041</v>
      </c>
      <c r="F40" s="2638"/>
      <c r="G40" s="2603" t="s">
        <v>3042</v>
      </c>
      <c r="H40" s="2638">
        <f>K40</f>
        <v>1.27</v>
      </c>
      <c r="I40" s="2603" t="s">
        <v>3043</v>
      </c>
      <c r="J40" s="2603" t="s">
        <v>3033</v>
      </c>
      <c r="K40" s="2638">
        <v>1.27</v>
      </c>
      <c r="L40" s="2614">
        <v>1</v>
      </c>
      <c r="M40" s="2618">
        <v>0</v>
      </c>
      <c r="N40" s="2636">
        <f>+M40/K40</f>
        <v>0</v>
      </c>
      <c r="O40" s="2626">
        <f>IF(Q40&gt;0, N40,"na")</f>
        <v>0</v>
      </c>
      <c r="P40" s="2625">
        <v>200339223</v>
      </c>
      <c r="Q40" s="2625">
        <v>200339223</v>
      </c>
      <c r="R40" s="2625">
        <v>0</v>
      </c>
      <c r="S40" s="2625">
        <v>0</v>
      </c>
      <c r="T40" s="2626">
        <f t="shared" si="2"/>
        <v>0</v>
      </c>
      <c r="U40" s="2626">
        <f>+IF(R40&gt;0,S40/R40,0)</f>
        <v>0</v>
      </c>
      <c r="V40" s="2619"/>
      <c r="W40" s="2619"/>
      <c r="X40" s="2617"/>
      <c r="Y40" s="2620" t="s">
        <v>2982</v>
      </c>
    </row>
    <row r="41" spans="1:25">
      <c r="A41" s="3181">
        <v>4151</v>
      </c>
      <c r="B41" s="3181"/>
      <c r="C41" s="3181" t="s">
        <v>109</v>
      </c>
      <c r="D41" s="3182" t="s">
        <v>3044</v>
      </c>
      <c r="E41" s="2603" t="s">
        <v>3045</v>
      </c>
      <c r="F41" s="2638"/>
      <c r="G41" s="2603"/>
      <c r="H41" s="2638">
        <f>H42+H43</f>
        <v>0.47</v>
      </c>
      <c r="I41" s="2603"/>
      <c r="J41" s="2603"/>
      <c r="K41" s="2638">
        <f>K42+K43</f>
        <v>0.47</v>
      </c>
      <c r="L41" s="2621">
        <f>L42+L43</f>
        <v>1</v>
      </c>
      <c r="M41" s="2618">
        <v>0</v>
      </c>
      <c r="N41" s="2636"/>
      <c r="O41" s="2632"/>
      <c r="P41" s="2639">
        <f>P42+P43</f>
        <v>212621251</v>
      </c>
      <c r="Q41" s="2624">
        <f>Q42+Q43</f>
        <v>212621251</v>
      </c>
      <c r="R41" s="2625">
        <f>R42+R43</f>
        <v>0</v>
      </c>
      <c r="S41" s="2625">
        <f>S42+S43</f>
        <v>0</v>
      </c>
      <c r="T41" s="2626">
        <f>+IF(Q41&gt;0,R41/Q41,0)</f>
        <v>0</v>
      </c>
      <c r="U41" s="2626">
        <f>+IF(R41&gt;0,S41/R41,0)</f>
        <v>0</v>
      </c>
      <c r="V41" s="2619"/>
      <c r="W41" s="2619"/>
      <c r="X41" s="2617"/>
      <c r="Y41" s="2620"/>
    </row>
    <row r="42" spans="1:25" ht="40.5">
      <c r="A42" s="3181"/>
      <c r="B42" s="3181"/>
      <c r="C42" s="3181"/>
      <c r="D42" s="3182"/>
      <c r="E42" s="2603" t="s">
        <v>3046</v>
      </c>
      <c r="F42" s="2638"/>
      <c r="G42" s="3181" t="s">
        <v>3047</v>
      </c>
      <c r="H42" s="2638">
        <f>K42</f>
        <v>0.25</v>
      </c>
      <c r="I42" s="2603" t="s">
        <v>3048</v>
      </c>
      <c r="J42" s="2603" t="s">
        <v>3049</v>
      </c>
      <c r="K42" s="2653">
        <v>0.25</v>
      </c>
      <c r="L42" s="2621">
        <v>0.62</v>
      </c>
      <c r="M42" s="2618">
        <v>0</v>
      </c>
      <c r="N42" s="2622">
        <f>+((M42/K42))</f>
        <v>0</v>
      </c>
      <c r="O42" s="3183">
        <f>IF(Q41&gt;0,((M42/K42)*L42)+((M43/K43)*L43),"na")</f>
        <v>0</v>
      </c>
      <c r="P42" s="2625">
        <v>130857784</v>
      </c>
      <c r="Q42" s="2625">
        <v>130857784</v>
      </c>
      <c r="R42" s="2625">
        <v>0</v>
      </c>
      <c r="S42" s="2625">
        <v>0</v>
      </c>
      <c r="T42" s="2626">
        <f t="shared" ref="T42:U54" si="3">+IF(Q42&gt;0,R42/Q42,0)</f>
        <v>0</v>
      </c>
      <c r="U42" s="2626">
        <f t="shared" si="3"/>
        <v>0</v>
      </c>
      <c r="V42" s="2619"/>
      <c r="W42" s="2619"/>
      <c r="X42" s="2617"/>
      <c r="Y42" s="3180" t="s">
        <v>2982</v>
      </c>
    </row>
    <row r="43" spans="1:25" ht="27">
      <c r="A43" s="3181"/>
      <c r="B43" s="3181"/>
      <c r="C43" s="3181"/>
      <c r="D43" s="3182"/>
      <c r="E43" s="2603" t="s">
        <v>3050</v>
      </c>
      <c r="F43" s="2638"/>
      <c r="G43" s="3181"/>
      <c r="H43" s="2638">
        <f>K43</f>
        <v>0.22</v>
      </c>
      <c r="I43" s="2603" t="s">
        <v>3051</v>
      </c>
      <c r="J43" s="2603" t="s">
        <v>3052</v>
      </c>
      <c r="K43" s="2638">
        <v>0.22</v>
      </c>
      <c r="L43" s="2621">
        <v>0.38</v>
      </c>
      <c r="M43" s="2618">
        <v>0</v>
      </c>
      <c r="N43" s="2622">
        <f>+((M43/K43))</f>
        <v>0</v>
      </c>
      <c r="O43" s="3183"/>
      <c r="P43" s="2625">
        <v>81763467</v>
      </c>
      <c r="Q43" s="2625">
        <v>81763467</v>
      </c>
      <c r="R43" s="2618">
        <v>0</v>
      </c>
      <c r="S43" s="2618">
        <v>0</v>
      </c>
      <c r="T43" s="2626">
        <f t="shared" si="3"/>
        <v>0</v>
      </c>
      <c r="U43" s="2626">
        <f>+IF(R43&gt;0,S43/R43,0)</f>
        <v>0</v>
      </c>
      <c r="V43" s="2619"/>
      <c r="W43" s="2619"/>
      <c r="X43" s="2617"/>
      <c r="Y43" s="3180"/>
    </row>
    <row r="44" spans="1:25">
      <c r="A44" s="3181">
        <v>4151</v>
      </c>
      <c r="B44" s="3181"/>
      <c r="C44" s="3181" t="s">
        <v>109</v>
      </c>
      <c r="D44" s="3182" t="s">
        <v>3053</v>
      </c>
      <c r="E44" s="2603" t="s">
        <v>3054</v>
      </c>
      <c r="F44" s="2638"/>
      <c r="G44" s="2603"/>
      <c r="H44" s="2638">
        <f>H45</f>
        <v>0.22</v>
      </c>
      <c r="I44" s="2603"/>
      <c r="J44" s="2603"/>
      <c r="K44" s="2638">
        <f>K45</f>
        <v>0.22</v>
      </c>
      <c r="L44" s="2621">
        <f>L45</f>
        <v>1</v>
      </c>
      <c r="M44" s="2618">
        <v>0</v>
      </c>
      <c r="N44" s="2636"/>
      <c r="O44" s="2626"/>
      <c r="P44" s="2625">
        <f>P45</f>
        <v>458088506</v>
      </c>
      <c r="Q44" s="2625">
        <f>Q45</f>
        <v>458088506</v>
      </c>
      <c r="R44" s="2625">
        <f>R45</f>
        <v>0</v>
      </c>
      <c r="S44" s="2625">
        <f>S45</f>
        <v>0</v>
      </c>
      <c r="T44" s="2626">
        <f t="shared" si="3"/>
        <v>0</v>
      </c>
      <c r="U44" s="2626">
        <f t="shared" si="3"/>
        <v>0</v>
      </c>
      <c r="V44" s="2619"/>
      <c r="W44" s="2619"/>
      <c r="X44" s="2617"/>
      <c r="Y44" s="2620"/>
    </row>
    <row r="45" spans="1:25" ht="54">
      <c r="A45" s="3181"/>
      <c r="B45" s="3181"/>
      <c r="C45" s="3181"/>
      <c r="D45" s="3182"/>
      <c r="E45" s="2603" t="s">
        <v>3055</v>
      </c>
      <c r="F45" s="2638"/>
      <c r="G45" s="2603" t="s">
        <v>3056</v>
      </c>
      <c r="H45" s="2638">
        <f>K45</f>
        <v>0.22</v>
      </c>
      <c r="I45" s="2603" t="s">
        <v>3051</v>
      </c>
      <c r="J45" s="2603" t="s">
        <v>3052</v>
      </c>
      <c r="K45" s="2638">
        <v>0.22</v>
      </c>
      <c r="L45" s="2621">
        <v>1</v>
      </c>
      <c r="M45" s="2618">
        <v>0</v>
      </c>
      <c r="N45" s="2636">
        <f>+M45/K45</f>
        <v>0</v>
      </c>
      <c r="O45" s="2626">
        <f>IF(Q45&gt;0, N45,"na")</f>
        <v>0</v>
      </c>
      <c r="P45" s="2625">
        <v>458088506</v>
      </c>
      <c r="Q45" s="2625">
        <v>458088506</v>
      </c>
      <c r="R45" s="2618">
        <v>0</v>
      </c>
      <c r="S45" s="2625">
        <v>0</v>
      </c>
      <c r="T45" s="2626">
        <f t="shared" si="3"/>
        <v>0</v>
      </c>
      <c r="U45" s="2626">
        <f>+IF(R45&gt;0,S45/R45,0)</f>
        <v>0</v>
      </c>
      <c r="V45" s="2619"/>
      <c r="W45" s="2619"/>
      <c r="X45" s="2617"/>
      <c r="Y45" s="2620" t="s">
        <v>2982</v>
      </c>
    </row>
    <row r="46" spans="1:25">
      <c r="A46" s="3181">
        <v>4151</v>
      </c>
      <c r="B46" s="3181"/>
      <c r="C46" s="3181" t="s">
        <v>109</v>
      </c>
      <c r="D46" s="3186" t="s">
        <v>3057</v>
      </c>
      <c r="E46" s="2603" t="s">
        <v>3058</v>
      </c>
      <c r="F46" s="2638"/>
      <c r="G46" s="2603"/>
      <c r="H46" s="2638">
        <f>H47+H48</f>
        <v>1.268</v>
      </c>
      <c r="I46" s="2603"/>
      <c r="J46" s="2603"/>
      <c r="K46" s="2638">
        <f>K47+K48</f>
        <v>1.268</v>
      </c>
      <c r="L46" s="2614">
        <f>+L47+L48</f>
        <v>1</v>
      </c>
      <c r="M46" s="2618">
        <v>0</v>
      </c>
      <c r="N46" s="2636"/>
      <c r="O46" s="2632"/>
      <c r="P46" s="2625">
        <f>P47+P48</f>
        <v>372901507</v>
      </c>
      <c r="Q46" s="2625">
        <f>Q47+Q48</f>
        <v>372901507</v>
      </c>
      <c r="R46" s="2625">
        <f>R47+R48</f>
        <v>0</v>
      </c>
      <c r="S46" s="2625">
        <f>S47+S48</f>
        <v>0</v>
      </c>
      <c r="T46" s="2626">
        <f t="shared" si="3"/>
        <v>0</v>
      </c>
      <c r="U46" s="2626">
        <f t="shared" si="3"/>
        <v>0</v>
      </c>
      <c r="V46" s="2619"/>
      <c r="W46" s="2619"/>
      <c r="X46" s="2617"/>
      <c r="Y46" s="2620"/>
    </row>
    <row r="47" spans="1:25" ht="27">
      <c r="A47" s="3181"/>
      <c r="B47" s="3181"/>
      <c r="C47" s="3181"/>
      <c r="D47" s="3186"/>
      <c r="E47" s="2603" t="s">
        <v>3059</v>
      </c>
      <c r="F47" s="2638"/>
      <c r="G47" s="3181" t="s">
        <v>3060</v>
      </c>
      <c r="H47" s="2638">
        <f>K47</f>
        <v>0.60799999999999998</v>
      </c>
      <c r="I47" s="2603" t="s">
        <v>3061</v>
      </c>
      <c r="J47" s="2603" t="s">
        <v>3033</v>
      </c>
      <c r="K47" s="2638">
        <v>0.60799999999999998</v>
      </c>
      <c r="L47" s="2614">
        <v>0.48</v>
      </c>
      <c r="M47" s="2618">
        <v>0</v>
      </c>
      <c r="N47" s="2622">
        <f>+((M47/K47))</f>
        <v>0</v>
      </c>
      <c r="O47" s="3183">
        <f>IF(Q46&gt;0,((M47/K47)*L47)+((M48/K48)*L48),"na")</f>
        <v>0</v>
      </c>
      <c r="P47" s="2625">
        <v>179097300</v>
      </c>
      <c r="Q47" s="2625">
        <v>179097300</v>
      </c>
      <c r="R47" s="2618">
        <v>0</v>
      </c>
      <c r="S47" s="2625">
        <v>0</v>
      </c>
      <c r="T47" s="2626">
        <f t="shared" si="3"/>
        <v>0</v>
      </c>
      <c r="U47" s="2626">
        <f>+IF(R47&gt;0,S47/R47,0)</f>
        <v>0</v>
      </c>
      <c r="V47" s="2619"/>
      <c r="W47" s="2619"/>
      <c r="X47" s="2617"/>
      <c r="Y47" s="3180" t="s">
        <v>2982</v>
      </c>
    </row>
    <row r="48" spans="1:25" ht="27">
      <c r="A48" s="3181"/>
      <c r="B48" s="2603"/>
      <c r="C48" s="3181"/>
      <c r="D48" s="3186"/>
      <c r="E48" s="2603" t="s">
        <v>3062</v>
      </c>
      <c r="F48" s="2638"/>
      <c r="G48" s="3181"/>
      <c r="H48" s="2638">
        <f>+K48</f>
        <v>0.66</v>
      </c>
      <c r="I48" s="2603" t="s">
        <v>3063</v>
      </c>
      <c r="J48" s="2603" t="s">
        <v>3064</v>
      </c>
      <c r="K48" s="2638">
        <v>0.66</v>
      </c>
      <c r="L48" s="2614">
        <v>0.52</v>
      </c>
      <c r="M48" s="2618">
        <v>0</v>
      </c>
      <c r="N48" s="2622">
        <f>+((M48/K48))</f>
        <v>0</v>
      </c>
      <c r="O48" s="3183"/>
      <c r="P48" s="2625">
        <v>193804207</v>
      </c>
      <c r="Q48" s="2625">
        <v>193804207</v>
      </c>
      <c r="R48" s="2618">
        <v>0</v>
      </c>
      <c r="S48" s="2625">
        <v>0</v>
      </c>
      <c r="T48" s="2626">
        <f t="shared" si="3"/>
        <v>0</v>
      </c>
      <c r="U48" s="2626">
        <f t="shared" si="3"/>
        <v>0</v>
      </c>
      <c r="V48" s="2619"/>
      <c r="W48" s="2619"/>
      <c r="X48" s="2617"/>
      <c r="Y48" s="3180"/>
    </row>
    <row r="49" spans="1:25">
      <c r="A49" s="3181">
        <v>4151</v>
      </c>
      <c r="B49" s="2603"/>
      <c r="C49" s="3181" t="s">
        <v>109</v>
      </c>
      <c r="D49" s="3186" t="s">
        <v>3065</v>
      </c>
      <c r="E49" s="2603" t="s">
        <v>3066</v>
      </c>
      <c r="F49" s="2638"/>
      <c r="G49" s="2603"/>
      <c r="H49" s="2653">
        <f>+H50</f>
        <v>0.29699999999999999</v>
      </c>
      <c r="I49" s="2603"/>
      <c r="J49" s="2603"/>
      <c r="K49" s="2653">
        <f>+K50</f>
        <v>0.29699999999999999</v>
      </c>
      <c r="L49" s="2614">
        <f>+L50</f>
        <v>1</v>
      </c>
      <c r="M49" s="2618">
        <v>0</v>
      </c>
      <c r="N49" s="2636"/>
      <c r="O49" s="2626"/>
      <c r="P49" s="2625">
        <f>P50</f>
        <v>297293345</v>
      </c>
      <c r="Q49" s="2625">
        <f>Q50</f>
        <v>297293345</v>
      </c>
      <c r="R49" s="2625">
        <f>R50</f>
        <v>0</v>
      </c>
      <c r="S49" s="2625">
        <f>S50</f>
        <v>0</v>
      </c>
      <c r="T49" s="2626">
        <f t="shared" si="3"/>
        <v>0</v>
      </c>
      <c r="U49" s="2626">
        <f>+IF(R49&gt;0,S49/R49,0)</f>
        <v>0</v>
      </c>
      <c r="V49" s="2654"/>
      <c r="W49" s="2619"/>
      <c r="X49" s="2617"/>
      <c r="Y49" s="2620"/>
    </row>
    <row r="50" spans="1:25" ht="67.5">
      <c r="A50" s="3181"/>
      <c r="B50" s="2603"/>
      <c r="C50" s="3181"/>
      <c r="D50" s="3186"/>
      <c r="E50" s="2603" t="s">
        <v>5419</v>
      </c>
      <c r="F50" s="2638"/>
      <c r="G50" s="2603" t="s">
        <v>3067</v>
      </c>
      <c r="H50" s="2653">
        <f>+K50</f>
        <v>0.29699999999999999</v>
      </c>
      <c r="I50" s="2603" t="s">
        <v>3068</v>
      </c>
      <c r="J50" s="2603" t="s">
        <v>3069</v>
      </c>
      <c r="K50" s="2603">
        <v>0.29699999999999999</v>
      </c>
      <c r="L50" s="2614">
        <v>1</v>
      </c>
      <c r="M50" s="2618">
        <v>0</v>
      </c>
      <c r="N50" s="2636">
        <f>+M50/K50</f>
        <v>0</v>
      </c>
      <c r="O50" s="2626">
        <f>IF(Q50&gt;0, N50,"na")</f>
        <v>0</v>
      </c>
      <c r="P50" s="2625">
        <v>297293345</v>
      </c>
      <c r="Q50" s="2625">
        <v>297293345</v>
      </c>
      <c r="R50" s="2618">
        <v>0</v>
      </c>
      <c r="S50" s="2625">
        <v>0</v>
      </c>
      <c r="T50" s="2626">
        <f t="shared" si="3"/>
        <v>0</v>
      </c>
      <c r="U50" s="2626">
        <f t="shared" si="3"/>
        <v>0</v>
      </c>
      <c r="V50" s="2619"/>
      <c r="W50" s="2619"/>
      <c r="X50" s="2617"/>
      <c r="Y50" s="2620" t="s">
        <v>2982</v>
      </c>
    </row>
    <row r="51" spans="1:25">
      <c r="A51" s="3181">
        <v>4151</v>
      </c>
      <c r="B51" s="3181"/>
      <c r="C51" s="3181" t="s">
        <v>109</v>
      </c>
      <c r="D51" s="3182" t="s">
        <v>3070</v>
      </c>
      <c r="E51" s="2603" t="s">
        <v>3071</v>
      </c>
      <c r="F51" s="2638"/>
      <c r="G51" s="2603"/>
      <c r="H51" s="2638">
        <f>+H52</f>
        <v>2.2000000000000002</v>
      </c>
      <c r="I51" s="2603"/>
      <c r="J51" s="2603"/>
      <c r="K51" s="2638">
        <f>+K52</f>
        <v>2.2000000000000002</v>
      </c>
      <c r="L51" s="2621">
        <f>+L52</f>
        <v>1</v>
      </c>
      <c r="M51" s="2618">
        <v>0</v>
      </c>
      <c r="N51" s="2636"/>
      <c r="O51" s="2626"/>
      <c r="P51" s="2625">
        <f>P52</f>
        <v>358641741</v>
      </c>
      <c r="Q51" s="2625">
        <f>Q52</f>
        <v>358641741</v>
      </c>
      <c r="R51" s="2625">
        <f>R52</f>
        <v>0</v>
      </c>
      <c r="S51" s="2625">
        <f>S52</f>
        <v>0</v>
      </c>
      <c r="T51" s="2626">
        <f t="shared" si="3"/>
        <v>0</v>
      </c>
      <c r="U51" s="2626">
        <f>+IF(R51&gt;0,S51/R51,0)</f>
        <v>0</v>
      </c>
      <c r="V51" s="2619"/>
      <c r="W51" s="2619"/>
      <c r="X51" s="2617"/>
      <c r="Y51" s="2620"/>
    </row>
    <row r="52" spans="1:25" ht="67.5">
      <c r="A52" s="3181"/>
      <c r="B52" s="3181"/>
      <c r="C52" s="3181"/>
      <c r="D52" s="3182"/>
      <c r="E52" s="2603" t="s">
        <v>3072</v>
      </c>
      <c r="F52" s="2638"/>
      <c r="G52" s="2603" t="s">
        <v>3073</v>
      </c>
      <c r="H52" s="2652">
        <f>+K52</f>
        <v>2.2000000000000002</v>
      </c>
      <c r="I52" s="2603" t="s">
        <v>3074</v>
      </c>
      <c r="J52" s="2603" t="s">
        <v>3049</v>
      </c>
      <c r="K52" s="2638">
        <v>2.2000000000000002</v>
      </c>
      <c r="L52" s="2621">
        <v>1</v>
      </c>
      <c r="M52" s="2618">
        <v>0</v>
      </c>
      <c r="N52" s="2636">
        <f>+M52/K52</f>
        <v>0</v>
      </c>
      <c r="O52" s="2626">
        <f>IF(Q52&gt;0, N52,"na")</f>
        <v>0</v>
      </c>
      <c r="P52" s="2625">
        <v>358641741</v>
      </c>
      <c r="Q52" s="2625">
        <v>358641741</v>
      </c>
      <c r="R52" s="2618">
        <v>0</v>
      </c>
      <c r="S52" s="2625">
        <v>0</v>
      </c>
      <c r="T52" s="2626">
        <f t="shared" si="3"/>
        <v>0</v>
      </c>
      <c r="U52" s="2626">
        <f t="shared" si="3"/>
        <v>0</v>
      </c>
      <c r="V52" s="2619"/>
      <c r="W52" s="2619"/>
      <c r="X52" s="2617"/>
      <c r="Y52" s="2620" t="s">
        <v>2982</v>
      </c>
    </row>
    <row r="53" spans="1:25">
      <c r="A53" s="3181">
        <v>4151</v>
      </c>
      <c r="B53" s="3181"/>
      <c r="C53" s="3181" t="s">
        <v>109</v>
      </c>
      <c r="D53" s="3186" t="s">
        <v>3075</v>
      </c>
      <c r="E53" s="2603" t="s">
        <v>3076</v>
      </c>
      <c r="F53" s="2638"/>
      <c r="G53" s="2603"/>
      <c r="H53" s="2638">
        <f>+H54</f>
        <v>1</v>
      </c>
      <c r="I53" s="2603"/>
      <c r="J53" s="2603"/>
      <c r="K53" s="2638">
        <f>+K54</f>
        <v>1</v>
      </c>
      <c r="L53" s="2621">
        <f>+L54</f>
        <v>1</v>
      </c>
      <c r="M53" s="2618">
        <v>0</v>
      </c>
      <c r="N53" s="2636"/>
      <c r="O53" s="2626"/>
      <c r="P53" s="2625">
        <f>P54</f>
        <v>2500000000</v>
      </c>
      <c r="Q53" s="2625">
        <f>Q54</f>
        <v>2500000000</v>
      </c>
      <c r="R53" s="2625">
        <f>R54</f>
        <v>0</v>
      </c>
      <c r="S53" s="2625">
        <f>S54</f>
        <v>0</v>
      </c>
      <c r="T53" s="2618"/>
      <c r="U53" s="2618"/>
      <c r="V53" s="2619"/>
      <c r="W53" s="2619"/>
      <c r="X53" s="2617"/>
      <c r="Y53" s="2620"/>
    </row>
    <row r="54" spans="1:25" ht="94.5">
      <c r="A54" s="3181"/>
      <c r="B54" s="3181"/>
      <c r="C54" s="3181"/>
      <c r="D54" s="3186"/>
      <c r="E54" s="2603" t="s">
        <v>5420</v>
      </c>
      <c r="F54" s="2638"/>
      <c r="G54" s="2603" t="s">
        <v>3077</v>
      </c>
      <c r="H54" s="2638">
        <v>1</v>
      </c>
      <c r="I54" s="2603" t="s">
        <v>3078</v>
      </c>
      <c r="J54" s="2603" t="s">
        <v>107</v>
      </c>
      <c r="K54" s="2638">
        <v>1</v>
      </c>
      <c r="L54" s="2621">
        <v>1</v>
      </c>
      <c r="M54" s="2618">
        <v>0</v>
      </c>
      <c r="N54" s="2636">
        <f>+M54/K54</f>
        <v>0</v>
      </c>
      <c r="O54" s="2626">
        <f>IF(Q54&gt;0, N54,"na")</f>
        <v>0</v>
      </c>
      <c r="P54" s="2625">
        <v>2500000000</v>
      </c>
      <c r="Q54" s="2625">
        <v>2500000000</v>
      </c>
      <c r="R54" s="2618">
        <v>0</v>
      </c>
      <c r="S54" s="2625">
        <v>0</v>
      </c>
      <c r="T54" s="2626">
        <f t="shared" si="3"/>
        <v>0</v>
      </c>
      <c r="U54" s="2626">
        <f t="shared" si="3"/>
        <v>0</v>
      </c>
      <c r="V54" s="2619"/>
      <c r="W54" s="2619"/>
      <c r="X54" s="2617"/>
      <c r="Y54" s="2620" t="s">
        <v>2982</v>
      </c>
    </row>
    <row r="55" spans="1:25" ht="25.5">
      <c r="A55" s="2611"/>
      <c r="B55" s="2611">
        <v>53040040004</v>
      </c>
      <c r="C55" s="2611" t="s">
        <v>103</v>
      </c>
      <c r="D55" s="2612" t="s">
        <v>3079</v>
      </c>
      <c r="E55" s="2603" t="s">
        <v>3007</v>
      </c>
      <c r="F55" s="2638"/>
      <c r="G55" s="2603"/>
      <c r="H55" s="2638">
        <f>+H56+H58+H60+H62+H64+H66+H68</f>
        <v>116.1375</v>
      </c>
      <c r="I55" s="2603"/>
      <c r="J55" s="2603"/>
      <c r="K55" s="2638"/>
      <c r="L55" s="2614"/>
      <c r="M55" s="2618"/>
      <c r="N55" s="2636"/>
      <c r="O55" s="2618"/>
      <c r="P55" s="2618"/>
      <c r="Q55" s="2625"/>
      <c r="R55" s="2618"/>
      <c r="S55" s="2618"/>
      <c r="T55" s="2626"/>
      <c r="U55" s="2626"/>
      <c r="V55" s="2630"/>
      <c r="W55" s="2630"/>
      <c r="X55" s="2617"/>
      <c r="Y55" s="2631"/>
    </row>
    <row r="56" spans="1:25">
      <c r="A56" s="3187">
        <v>4151</v>
      </c>
      <c r="B56" s="3181"/>
      <c r="C56" s="3187" t="s">
        <v>109</v>
      </c>
      <c r="D56" s="3186" t="s">
        <v>3080</v>
      </c>
      <c r="E56" s="2603" t="s">
        <v>3081</v>
      </c>
      <c r="F56" s="2638"/>
      <c r="G56" s="2603"/>
      <c r="H56" s="2638">
        <f>+H57</f>
        <v>1.5</v>
      </c>
      <c r="I56" s="2603"/>
      <c r="J56" s="2603"/>
      <c r="K56" s="2638">
        <f>+K57</f>
        <v>1.5</v>
      </c>
      <c r="L56" s="2614">
        <f>+L57</f>
        <v>1</v>
      </c>
      <c r="M56" s="2618">
        <v>0</v>
      </c>
      <c r="N56" s="2636"/>
      <c r="O56" s="2626"/>
      <c r="P56" s="2639">
        <f>P57</f>
        <v>292000000</v>
      </c>
      <c r="Q56" s="2625">
        <f>Q57</f>
        <v>292000000</v>
      </c>
      <c r="R56" s="2625">
        <v>0</v>
      </c>
      <c r="S56" s="2625">
        <v>0</v>
      </c>
      <c r="T56" s="2626">
        <f>+IF(Q56&gt;0,R56/Q56,0)</f>
        <v>0</v>
      </c>
      <c r="U56" s="2626">
        <f t="shared" ref="U56:U57" si="4">+IF(R56&gt;0,S56/R56,0)</f>
        <v>0</v>
      </c>
      <c r="V56" s="2641"/>
      <c r="W56" s="2641"/>
      <c r="X56" s="2617"/>
      <c r="Y56" s="2631"/>
    </row>
    <row r="57" spans="1:25" ht="54">
      <c r="A57" s="3187"/>
      <c r="B57" s="3181"/>
      <c r="C57" s="3187"/>
      <c r="D57" s="3186"/>
      <c r="E57" s="2603" t="s">
        <v>5421</v>
      </c>
      <c r="F57" s="2638"/>
      <c r="G57" s="2603" t="s">
        <v>3082</v>
      </c>
      <c r="H57" s="2638">
        <v>1.5</v>
      </c>
      <c r="I57" s="2603" t="s">
        <v>3083</v>
      </c>
      <c r="J57" s="2603" t="s">
        <v>3084</v>
      </c>
      <c r="K57" s="2638">
        <v>1.5</v>
      </c>
      <c r="L57" s="2614">
        <v>1</v>
      </c>
      <c r="M57" s="2618">
        <v>0</v>
      </c>
      <c r="N57" s="2636">
        <f>+M57/K57</f>
        <v>0</v>
      </c>
      <c r="O57" s="2626">
        <f>IF(Q57&gt;0, N57,"na")</f>
        <v>0</v>
      </c>
      <c r="P57" s="2623">
        <v>292000000</v>
      </c>
      <c r="Q57" s="2623">
        <v>292000000</v>
      </c>
      <c r="R57" s="2618">
        <v>0</v>
      </c>
      <c r="S57" s="2625">
        <v>0</v>
      </c>
      <c r="T57" s="2626">
        <f t="shared" ref="T57" si="5">+IF(Q57&gt;0,R57/Q57,0)</f>
        <v>0</v>
      </c>
      <c r="U57" s="2626">
        <f t="shared" si="4"/>
        <v>0</v>
      </c>
      <c r="V57" s="2619"/>
      <c r="W57" s="2619"/>
      <c r="X57" s="2617"/>
      <c r="Y57" s="2620" t="s">
        <v>2982</v>
      </c>
    </row>
    <row r="58" spans="1:25">
      <c r="A58" s="3181">
        <v>4151</v>
      </c>
      <c r="B58" s="3181"/>
      <c r="C58" s="3181" t="s">
        <v>109</v>
      </c>
      <c r="D58" s="3182" t="s">
        <v>3085</v>
      </c>
      <c r="E58" s="2603" t="s">
        <v>3086</v>
      </c>
      <c r="F58" s="2638"/>
      <c r="G58" s="2603"/>
      <c r="H58" s="2638">
        <f>H59</f>
        <v>0.184</v>
      </c>
      <c r="I58" s="2603"/>
      <c r="J58" s="2603"/>
      <c r="K58" s="2638">
        <f>K59</f>
        <v>0.184</v>
      </c>
      <c r="L58" s="2614">
        <f>L59</f>
        <v>1</v>
      </c>
      <c r="M58" s="2618">
        <v>0</v>
      </c>
      <c r="N58" s="2636"/>
      <c r="O58" s="2626"/>
      <c r="P58" s="2639">
        <f>P59</f>
        <v>267956822</v>
      </c>
      <c r="Q58" s="2625">
        <f>Q59</f>
        <v>267956822</v>
      </c>
      <c r="R58" s="2625">
        <v>0</v>
      </c>
      <c r="S58" s="2625">
        <v>0</v>
      </c>
      <c r="T58" s="2618"/>
      <c r="U58" s="2618"/>
      <c r="V58" s="2619"/>
      <c r="W58" s="2619"/>
      <c r="X58" s="2617"/>
      <c r="Y58" s="2620"/>
    </row>
    <row r="59" spans="1:25" ht="54">
      <c r="A59" s="3181"/>
      <c r="B59" s="3181"/>
      <c r="C59" s="3181"/>
      <c r="D59" s="3182"/>
      <c r="E59" s="2603" t="s">
        <v>3087</v>
      </c>
      <c r="F59" s="2638"/>
      <c r="G59" s="2603" t="s">
        <v>3088</v>
      </c>
      <c r="H59" s="2638">
        <f>K59</f>
        <v>0.184</v>
      </c>
      <c r="I59" s="2603" t="s">
        <v>3089</v>
      </c>
      <c r="J59" s="2603" t="s">
        <v>3090</v>
      </c>
      <c r="K59" s="2638">
        <v>0.184</v>
      </c>
      <c r="L59" s="2614">
        <v>1</v>
      </c>
      <c r="M59" s="2618">
        <v>0</v>
      </c>
      <c r="N59" s="2636">
        <f>+M59/K59</f>
        <v>0</v>
      </c>
      <c r="O59" s="2626">
        <f>IF(Q59&gt;0, N59,"na")</f>
        <v>0</v>
      </c>
      <c r="P59" s="2639">
        <v>267956822</v>
      </c>
      <c r="Q59" s="2639">
        <v>267956822</v>
      </c>
      <c r="R59" s="2618">
        <v>0</v>
      </c>
      <c r="S59" s="2625">
        <v>0</v>
      </c>
      <c r="T59" s="2626">
        <f>+IF(Q59&gt;0,R59/Q59,0)</f>
        <v>0</v>
      </c>
      <c r="U59" s="2626">
        <f>+IF(R59&gt;0,S59/R59,0)</f>
        <v>0</v>
      </c>
      <c r="V59" s="2619"/>
      <c r="W59" s="2619"/>
      <c r="X59" s="2617"/>
      <c r="Y59" s="2620" t="s">
        <v>2982</v>
      </c>
    </row>
    <row r="60" spans="1:25">
      <c r="A60" s="3181">
        <v>4151</v>
      </c>
      <c r="B60" s="3181"/>
      <c r="C60" s="3181" t="s">
        <v>109</v>
      </c>
      <c r="D60" s="3182" t="s">
        <v>3091</v>
      </c>
      <c r="E60" s="2603" t="s">
        <v>3092</v>
      </c>
      <c r="F60" s="2638"/>
      <c r="G60" s="2603"/>
      <c r="H60" s="2638">
        <f>H61</f>
        <v>1.3959999999999999</v>
      </c>
      <c r="I60" s="2603"/>
      <c r="J60" s="2603"/>
      <c r="K60" s="2638">
        <f>K61</f>
        <v>1.3959999999999999</v>
      </c>
      <c r="L60" s="2614">
        <f>L61</f>
        <v>1</v>
      </c>
      <c r="M60" s="2618">
        <v>0</v>
      </c>
      <c r="N60" s="2636"/>
      <c r="O60" s="2626"/>
      <c r="P60" s="2639">
        <f>P61</f>
        <v>277908886</v>
      </c>
      <c r="Q60" s="2625">
        <f>Q61</f>
        <v>277908886</v>
      </c>
      <c r="R60" s="2625">
        <f>R61</f>
        <v>0</v>
      </c>
      <c r="S60" s="2625">
        <f>S61</f>
        <v>0</v>
      </c>
      <c r="T60" s="2626">
        <f>+IF(Q60&gt;0,R60/Q60,0)</f>
        <v>0</v>
      </c>
      <c r="U60" s="2626">
        <f t="shared" ref="U60:U65" si="6">+IF(R60&gt;0,S60/R60,0)</f>
        <v>0</v>
      </c>
      <c r="V60" s="2619"/>
      <c r="W60" s="2619"/>
      <c r="X60" s="2617"/>
      <c r="Y60" s="2620"/>
    </row>
    <row r="61" spans="1:25" ht="54">
      <c r="A61" s="3181"/>
      <c r="B61" s="3181"/>
      <c r="C61" s="3181"/>
      <c r="D61" s="3182"/>
      <c r="E61" s="2603" t="s">
        <v>3093</v>
      </c>
      <c r="F61" s="2638"/>
      <c r="G61" s="2603" t="s">
        <v>3094</v>
      </c>
      <c r="H61" s="2638">
        <f>K61</f>
        <v>1.3959999999999999</v>
      </c>
      <c r="I61" s="2603" t="s">
        <v>3095</v>
      </c>
      <c r="J61" s="2603" t="s">
        <v>3090</v>
      </c>
      <c r="K61" s="2638">
        <v>1.3959999999999999</v>
      </c>
      <c r="L61" s="2614">
        <v>1</v>
      </c>
      <c r="M61" s="2618">
        <v>0</v>
      </c>
      <c r="N61" s="2636">
        <f>+M61/K61</f>
        <v>0</v>
      </c>
      <c r="O61" s="2626">
        <f>IF(Q61&gt;0, N61,"na")</f>
        <v>0</v>
      </c>
      <c r="P61" s="2639">
        <v>277908886</v>
      </c>
      <c r="Q61" s="2639">
        <v>277908886</v>
      </c>
      <c r="R61" s="2618">
        <v>0</v>
      </c>
      <c r="S61" s="2625">
        <v>0</v>
      </c>
      <c r="T61" s="2626">
        <f t="shared" ref="T61:T65" si="7">+IF(Q61&gt;0,R61/Q61,0)</f>
        <v>0</v>
      </c>
      <c r="U61" s="2626">
        <f t="shared" si="6"/>
        <v>0</v>
      </c>
      <c r="V61" s="2619"/>
      <c r="W61" s="2619"/>
      <c r="X61" s="2617"/>
      <c r="Y61" s="2620" t="s">
        <v>2982</v>
      </c>
    </row>
    <row r="62" spans="1:25">
      <c r="A62" s="3181">
        <v>4151</v>
      </c>
      <c r="B62" s="3181"/>
      <c r="C62" s="3181" t="s">
        <v>109</v>
      </c>
      <c r="D62" s="3182" t="s">
        <v>3096</v>
      </c>
      <c r="E62" s="2603" t="s">
        <v>3097</v>
      </c>
      <c r="F62" s="2638"/>
      <c r="G62" s="2603"/>
      <c r="H62" s="2638">
        <f>H63</f>
        <v>1.016</v>
      </c>
      <c r="I62" s="2603"/>
      <c r="J62" s="2603"/>
      <c r="K62" s="2638">
        <f>K63</f>
        <v>1.016</v>
      </c>
      <c r="L62" s="2614">
        <f>L63</f>
        <v>1</v>
      </c>
      <c r="M62" s="2618">
        <v>0</v>
      </c>
      <c r="N62" s="2636"/>
      <c r="O62" s="2626"/>
      <c r="P62" s="2639">
        <f>P63</f>
        <v>1178607825</v>
      </c>
      <c r="Q62" s="2625">
        <f>Q63</f>
        <v>1178607825</v>
      </c>
      <c r="R62" s="2625">
        <v>0</v>
      </c>
      <c r="S62" s="2625">
        <v>0</v>
      </c>
      <c r="T62" s="2626">
        <f t="shared" si="7"/>
        <v>0</v>
      </c>
      <c r="U62" s="2626">
        <f t="shared" si="6"/>
        <v>0</v>
      </c>
      <c r="V62" s="2619"/>
      <c r="W62" s="2619"/>
      <c r="X62" s="2617"/>
      <c r="Y62" s="2620"/>
    </row>
    <row r="63" spans="1:25" ht="54">
      <c r="A63" s="3181"/>
      <c r="B63" s="3181"/>
      <c r="C63" s="3181"/>
      <c r="D63" s="3182"/>
      <c r="E63" s="2603" t="s">
        <v>3098</v>
      </c>
      <c r="F63" s="2638"/>
      <c r="G63" s="2603" t="s">
        <v>3099</v>
      </c>
      <c r="H63" s="2638">
        <f>K63</f>
        <v>1.016</v>
      </c>
      <c r="I63" s="2603" t="s">
        <v>3100</v>
      </c>
      <c r="J63" s="2603" t="s">
        <v>3090</v>
      </c>
      <c r="K63" s="2638">
        <v>1.016</v>
      </c>
      <c r="L63" s="2614">
        <v>1</v>
      </c>
      <c r="M63" s="2618">
        <v>0</v>
      </c>
      <c r="N63" s="2636">
        <f>+M63/K63</f>
        <v>0</v>
      </c>
      <c r="O63" s="2626">
        <f>IF(Q63&gt;0, N63,"na")</f>
        <v>0</v>
      </c>
      <c r="P63" s="2639">
        <v>1178607825</v>
      </c>
      <c r="Q63" s="2639">
        <v>1178607825</v>
      </c>
      <c r="R63" s="2618">
        <v>0</v>
      </c>
      <c r="S63" s="2625">
        <v>0</v>
      </c>
      <c r="T63" s="2626">
        <f t="shared" si="7"/>
        <v>0</v>
      </c>
      <c r="U63" s="2626">
        <f t="shared" si="6"/>
        <v>0</v>
      </c>
      <c r="V63" s="2619"/>
      <c r="W63" s="2619"/>
      <c r="X63" s="2617"/>
      <c r="Y63" s="2620" t="s">
        <v>2982</v>
      </c>
    </row>
    <row r="64" spans="1:25">
      <c r="A64" s="3181">
        <v>4151</v>
      </c>
      <c r="B64" s="3181"/>
      <c r="C64" s="3181" t="s">
        <v>109</v>
      </c>
      <c r="D64" s="3182" t="s">
        <v>3101</v>
      </c>
      <c r="E64" s="2603" t="s">
        <v>3102</v>
      </c>
      <c r="F64" s="2638"/>
      <c r="G64" s="2603"/>
      <c r="H64" s="2638">
        <f>H65</f>
        <v>1.26</v>
      </c>
      <c r="I64" s="2603"/>
      <c r="J64" s="2603"/>
      <c r="K64" s="2638">
        <f>K65</f>
        <v>1.26</v>
      </c>
      <c r="L64" s="2614">
        <f>L65</f>
        <v>1</v>
      </c>
      <c r="M64" s="2618">
        <v>0</v>
      </c>
      <c r="N64" s="2636"/>
      <c r="O64" s="2626"/>
      <c r="P64" s="2639">
        <f>P65</f>
        <v>1684548577</v>
      </c>
      <c r="Q64" s="2625">
        <f>Q65</f>
        <v>1684548577</v>
      </c>
      <c r="R64" s="2625">
        <f>R65</f>
        <v>0</v>
      </c>
      <c r="S64" s="2625">
        <f>S65</f>
        <v>0</v>
      </c>
      <c r="T64" s="2618"/>
      <c r="U64" s="2618"/>
      <c r="V64" s="2619"/>
      <c r="W64" s="2619"/>
      <c r="X64" s="2617"/>
      <c r="Y64" s="2620"/>
    </row>
    <row r="65" spans="1:25" ht="54">
      <c r="A65" s="3181"/>
      <c r="B65" s="3181"/>
      <c r="C65" s="3181"/>
      <c r="D65" s="3182"/>
      <c r="E65" s="2603" t="s">
        <v>3103</v>
      </c>
      <c r="F65" s="2638"/>
      <c r="G65" s="2603" t="s">
        <v>3104</v>
      </c>
      <c r="H65" s="2638">
        <f>K65</f>
        <v>1.26</v>
      </c>
      <c r="I65" s="2603" t="s">
        <v>3105</v>
      </c>
      <c r="J65" s="2603" t="s">
        <v>3090</v>
      </c>
      <c r="K65" s="2638">
        <v>1.26</v>
      </c>
      <c r="L65" s="2614">
        <v>1</v>
      </c>
      <c r="M65" s="2618">
        <v>0</v>
      </c>
      <c r="N65" s="2636">
        <f>+M65/K65</f>
        <v>0</v>
      </c>
      <c r="O65" s="2626">
        <f>IF(Q65&gt;0, N65,"na")</f>
        <v>0</v>
      </c>
      <c r="P65" s="2639">
        <v>1684548577</v>
      </c>
      <c r="Q65" s="2639">
        <v>1684548577</v>
      </c>
      <c r="R65" s="2618">
        <v>0</v>
      </c>
      <c r="S65" s="2625">
        <v>0</v>
      </c>
      <c r="T65" s="2626">
        <f t="shared" si="7"/>
        <v>0</v>
      </c>
      <c r="U65" s="2626">
        <f t="shared" si="6"/>
        <v>0</v>
      </c>
      <c r="V65" s="2619"/>
      <c r="W65" s="2619"/>
      <c r="X65" s="2617"/>
      <c r="Y65" s="2620" t="s">
        <v>2982</v>
      </c>
    </row>
    <row r="66" spans="1:25">
      <c r="A66" s="3181">
        <v>4151</v>
      </c>
      <c r="B66" s="3181"/>
      <c r="C66" s="3181" t="s">
        <v>109</v>
      </c>
      <c r="D66" s="3182" t="s">
        <v>3106</v>
      </c>
      <c r="E66" s="2603" t="s">
        <v>3107</v>
      </c>
      <c r="F66" s="2638"/>
      <c r="G66" s="2603"/>
      <c r="H66" s="2638">
        <f>H67</f>
        <v>0.28149999999999997</v>
      </c>
      <c r="I66" s="2603"/>
      <c r="J66" s="2603"/>
      <c r="K66" s="2638">
        <f>K67</f>
        <v>0.28149999999999997</v>
      </c>
      <c r="L66" s="2614">
        <f>L67</f>
        <v>1</v>
      </c>
      <c r="M66" s="2618">
        <v>0</v>
      </c>
      <c r="N66" s="2636"/>
      <c r="O66" s="2626"/>
      <c r="P66" s="2639">
        <f>P67</f>
        <v>360165765</v>
      </c>
      <c r="Q66" s="2625">
        <f>Q67</f>
        <v>360165765</v>
      </c>
      <c r="R66" s="2625">
        <f>R67</f>
        <v>0</v>
      </c>
      <c r="S66" s="2625">
        <f>S67</f>
        <v>0</v>
      </c>
      <c r="T66" s="2626">
        <f>+IF(Q66&gt;0,R66/Q66,0)</f>
        <v>0</v>
      </c>
      <c r="U66" s="2626">
        <f>+IF(R66&gt;0,S66/R66,0)</f>
        <v>0</v>
      </c>
      <c r="V66" s="2619"/>
      <c r="W66" s="2619"/>
      <c r="X66" s="2617"/>
      <c r="Y66" s="2620"/>
    </row>
    <row r="67" spans="1:25" ht="54">
      <c r="A67" s="3181"/>
      <c r="B67" s="3181"/>
      <c r="C67" s="3181"/>
      <c r="D67" s="3182"/>
      <c r="E67" s="2603" t="s">
        <v>3108</v>
      </c>
      <c r="F67" s="2638"/>
      <c r="G67" s="2603" t="s">
        <v>3109</v>
      </c>
      <c r="H67" s="2638">
        <f>K67</f>
        <v>0.28149999999999997</v>
      </c>
      <c r="I67" s="2603" t="s">
        <v>3110</v>
      </c>
      <c r="J67" s="2603" t="s">
        <v>3090</v>
      </c>
      <c r="K67" s="2638">
        <v>0.28149999999999997</v>
      </c>
      <c r="L67" s="2614">
        <v>1</v>
      </c>
      <c r="M67" s="2618">
        <v>0</v>
      </c>
      <c r="N67" s="2636">
        <f>+M67/K67</f>
        <v>0</v>
      </c>
      <c r="O67" s="2626">
        <f>IF(Q67&gt;0, N67,"na")</f>
        <v>0</v>
      </c>
      <c r="P67" s="2639">
        <v>360165765</v>
      </c>
      <c r="Q67" s="2639">
        <v>360165765</v>
      </c>
      <c r="R67" s="2618">
        <v>0</v>
      </c>
      <c r="S67" s="2625">
        <v>0</v>
      </c>
      <c r="T67" s="2626">
        <f t="shared" ref="T67:U84" si="8">+IF(Q67&gt;0,R67/Q67,0)</f>
        <v>0</v>
      </c>
      <c r="U67" s="2626">
        <f t="shared" si="8"/>
        <v>0</v>
      </c>
      <c r="V67" s="2619"/>
      <c r="W67" s="2619"/>
      <c r="X67" s="2617"/>
      <c r="Y67" s="2620" t="s">
        <v>2982</v>
      </c>
    </row>
    <row r="68" spans="1:25">
      <c r="A68" s="3181">
        <v>4151</v>
      </c>
      <c r="B68" s="3181"/>
      <c r="C68" s="3181" t="s">
        <v>109</v>
      </c>
      <c r="D68" s="3182" t="s">
        <v>3111</v>
      </c>
      <c r="E68" s="2603" t="s">
        <v>3112</v>
      </c>
      <c r="F68" s="2638"/>
      <c r="G68" s="2603"/>
      <c r="H68" s="2638">
        <f>H69+H70</f>
        <v>110.5</v>
      </c>
      <c r="I68" s="2603"/>
      <c r="J68" s="2603"/>
      <c r="K68" s="2638">
        <f>K69+K70</f>
        <v>110.5</v>
      </c>
      <c r="L68" s="2621">
        <f>L69+L70</f>
        <v>1</v>
      </c>
      <c r="M68" s="2618">
        <f>M69+M70</f>
        <v>17.257999999999999</v>
      </c>
      <c r="N68" s="2636"/>
      <c r="O68" s="2636"/>
      <c r="P68" s="2639">
        <f>P69+P70</f>
        <v>30250924637</v>
      </c>
      <c r="Q68" s="2625">
        <f>Q69+Q70</f>
        <v>68194374485</v>
      </c>
      <c r="R68" s="2625">
        <f>R69+R70</f>
        <v>9892531564</v>
      </c>
      <c r="S68" s="2625">
        <f>S69+S70</f>
        <v>4550411846</v>
      </c>
      <c r="T68" s="2626">
        <f t="shared" si="8"/>
        <v>0.14506374812743472</v>
      </c>
      <c r="U68" s="2626">
        <f>+IF(R68&gt;0,S68/R68,0)</f>
        <v>0.4599845667977896</v>
      </c>
      <c r="V68" s="2619"/>
      <c r="W68" s="2619"/>
      <c r="X68" s="2617"/>
      <c r="Y68" s="2631"/>
    </row>
    <row r="69" spans="1:25" ht="135">
      <c r="A69" s="3181"/>
      <c r="B69" s="3181"/>
      <c r="C69" s="3181"/>
      <c r="D69" s="3182"/>
      <c r="E69" s="2603" t="s">
        <v>3113</v>
      </c>
      <c r="F69" s="2638"/>
      <c r="G69" s="3181" t="s">
        <v>3114</v>
      </c>
      <c r="H69" s="2638">
        <f>K69</f>
        <v>0.5</v>
      </c>
      <c r="I69" s="2603" t="s">
        <v>3115</v>
      </c>
      <c r="J69" s="2603" t="s">
        <v>3116</v>
      </c>
      <c r="K69" s="2638">
        <v>0.5</v>
      </c>
      <c r="L69" s="2614">
        <v>0.21</v>
      </c>
      <c r="M69" s="2618">
        <v>0</v>
      </c>
      <c r="N69" s="2622">
        <f>+((M69/K69))</f>
        <v>0</v>
      </c>
      <c r="O69" s="3183">
        <f>IF(Q68&gt;0,((M69/K69)*L69)+((M70/K70)*L70),"na")</f>
        <v>0.12394381818181818</v>
      </c>
      <c r="P69" s="2625">
        <v>5709570211</v>
      </c>
      <c r="Q69" s="2625">
        <v>6690628499</v>
      </c>
      <c r="R69" s="2625">
        <v>273955718</v>
      </c>
      <c r="S69" s="2625">
        <v>129766057</v>
      </c>
      <c r="T69" s="2626">
        <f t="shared" si="8"/>
        <v>4.0946185853981611E-2</v>
      </c>
      <c r="U69" s="2626">
        <f t="shared" si="8"/>
        <v>0.47367530032718647</v>
      </c>
      <c r="V69" s="2619">
        <v>45314</v>
      </c>
      <c r="W69" s="2619">
        <v>45656</v>
      </c>
      <c r="X69" s="2617" t="s">
        <v>5422</v>
      </c>
      <c r="Y69" s="3180" t="s">
        <v>2982</v>
      </c>
    </row>
    <row r="70" spans="1:25" ht="54">
      <c r="A70" s="3181"/>
      <c r="B70" s="3181"/>
      <c r="C70" s="3181"/>
      <c r="D70" s="3182"/>
      <c r="E70" s="2642" t="s">
        <v>3117</v>
      </c>
      <c r="F70" s="2643"/>
      <c r="G70" s="3181"/>
      <c r="H70" s="2643">
        <f>K70</f>
        <v>110</v>
      </c>
      <c r="I70" s="2642" t="s">
        <v>3118</v>
      </c>
      <c r="J70" s="2642" t="s">
        <v>3119</v>
      </c>
      <c r="K70" s="2643">
        <v>110</v>
      </c>
      <c r="L70" s="2644">
        <v>0.79</v>
      </c>
      <c r="M70" s="2645">
        <v>17.257999999999999</v>
      </c>
      <c r="N70" s="2655">
        <f>+((M70/K70))</f>
        <v>0.15689090909090908</v>
      </c>
      <c r="O70" s="3183"/>
      <c r="P70" s="2648">
        <v>24541354426</v>
      </c>
      <c r="Q70" s="2648">
        <v>61503745986</v>
      </c>
      <c r="R70" s="2648">
        <v>9618575846</v>
      </c>
      <c r="S70" s="2648">
        <v>4420645789</v>
      </c>
      <c r="T70" s="2647">
        <f t="shared" si="8"/>
        <v>0.15639008147876815</v>
      </c>
      <c r="U70" s="2647">
        <f>+IF(R70&gt;0,S70/R70,0)</f>
        <v>0.45959462812141555</v>
      </c>
      <c r="V70" s="2649">
        <v>45314</v>
      </c>
      <c r="W70" s="2649">
        <v>45656</v>
      </c>
      <c r="X70" s="2650" t="s">
        <v>5423</v>
      </c>
      <c r="Y70" s="3180"/>
    </row>
    <row r="71" spans="1:25" ht="25.5">
      <c r="A71" s="2611"/>
      <c r="B71" s="2611">
        <v>53040040005</v>
      </c>
      <c r="C71" s="2611" t="s">
        <v>103</v>
      </c>
      <c r="D71" s="2612" t="s">
        <v>3120</v>
      </c>
      <c r="E71" s="2603" t="s">
        <v>3121</v>
      </c>
      <c r="F71" s="2638"/>
      <c r="G71" s="2603"/>
      <c r="H71" s="2627">
        <f>H72</f>
        <v>7</v>
      </c>
      <c r="I71" s="2603"/>
      <c r="J71" s="2603"/>
      <c r="K71" s="2627">
        <f>K72</f>
        <v>7</v>
      </c>
      <c r="L71" s="2614"/>
      <c r="M71" s="2618"/>
      <c r="N71" s="2636"/>
      <c r="O71" s="2618"/>
      <c r="P71" s="2618"/>
      <c r="Q71" s="2625"/>
      <c r="R71" s="2618"/>
      <c r="S71" s="2618"/>
      <c r="T71" s="2626"/>
      <c r="U71" s="2626"/>
      <c r="V71" s="2630"/>
      <c r="W71" s="2630"/>
      <c r="X71" s="2617"/>
      <c r="Y71" s="2631"/>
    </row>
    <row r="72" spans="1:25">
      <c r="A72" s="3181">
        <v>4151</v>
      </c>
      <c r="B72" s="3181"/>
      <c r="C72" s="3181" t="s">
        <v>109</v>
      </c>
      <c r="D72" s="3182" t="s">
        <v>3122</v>
      </c>
      <c r="E72" s="2603" t="s">
        <v>3123</v>
      </c>
      <c r="F72" s="2638"/>
      <c r="G72" s="2603"/>
      <c r="H72" s="2627">
        <f>H73</f>
        <v>7</v>
      </c>
      <c r="I72" s="2603"/>
      <c r="J72" s="2603"/>
      <c r="K72" s="2627">
        <f>K73</f>
        <v>7</v>
      </c>
      <c r="L72" s="2614">
        <f>L73</f>
        <v>1</v>
      </c>
      <c r="M72" s="2618">
        <v>0</v>
      </c>
      <c r="N72" s="2636"/>
      <c r="O72" s="2626"/>
      <c r="P72" s="2625">
        <f>P73</f>
        <v>2135480878</v>
      </c>
      <c r="Q72" s="2625">
        <f>Q73</f>
        <v>2135480878</v>
      </c>
      <c r="R72" s="2625">
        <f>R73</f>
        <v>48254000</v>
      </c>
      <c r="S72" s="2625">
        <f>S73</f>
        <v>0</v>
      </c>
      <c r="T72" s="2626">
        <f t="shared" si="8"/>
        <v>2.2596315657573404E-2</v>
      </c>
      <c r="U72" s="2626">
        <f>+IF(R72&gt;0,S72/R72,0)</f>
        <v>0</v>
      </c>
      <c r="V72" s="2619"/>
      <c r="W72" s="2619"/>
      <c r="X72" s="2617"/>
      <c r="Y72" s="2620"/>
    </row>
    <row r="73" spans="1:25" ht="108">
      <c r="A73" s="3181"/>
      <c r="B73" s="3181"/>
      <c r="C73" s="3181"/>
      <c r="D73" s="3182"/>
      <c r="E73" s="2603" t="s">
        <v>3124</v>
      </c>
      <c r="F73" s="2638"/>
      <c r="G73" s="2603" t="s">
        <v>3125</v>
      </c>
      <c r="H73" s="2627">
        <f>K73</f>
        <v>7</v>
      </c>
      <c r="I73" s="2603" t="s">
        <v>3126</v>
      </c>
      <c r="J73" s="2603" t="s">
        <v>3127</v>
      </c>
      <c r="K73" s="2627">
        <v>7</v>
      </c>
      <c r="L73" s="2614">
        <v>1</v>
      </c>
      <c r="M73" s="2618">
        <v>0</v>
      </c>
      <c r="N73" s="2636">
        <f>+M73/K73</f>
        <v>0</v>
      </c>
      <c r="O73" s="2626">
        <f>IF(Q73&gt;0, N73,"na")</f>
        <v>0</v>
      </c>
      <c r="P73" s="2625">
        <v>2135480878</v>
      </c>
      <c r="Q73" s="2625">
        <v>2135480878</v>
      </c>
      <c r="R73" s="2625">
        <v>48254000</v>
      </c>
      <c r="S73" s="2625">
        <v>0</v>
      </c>
      <c r="T73" s="2626">
        <f t="shared" si="8"/>
        <v>2.2596315657573404E-2</v>
      </c>
      <c r="U73" s="2626">
        <f t="shared" si="8"/>
        <v>0</v>
      </c>
      <c r="V73" s="2619">
        <v>45314</v>
      </c>
      <c r="W73" s="2619">
        <v>45656</v>
      </c>
      <c r="X73" s="2617" t="s">
        <v>5424</v>
      </c>
      <c r="Y73" s="2620" t="s">
        <v>2982</v>
      </c>
    </row>
    <row r="74" spans="1:25" ht="38.25">
      <c r="A74" s="2611"/>
      <c r="B74" s="2611">
        <v>53040040006</v>
      </c>
      <c r="C74" s="2611" t="s">
        <v>103</v>
      </c>
      <c r="D74" s="2612" t="s">
        <v>3128</v>
      </c>
      <c r="E74" s="2603" t="s">
        <v>3121</v>
      </c>
      <c r="F74" s="2638"/>
      <c r="G74" s="2603"/>
      <c r="H74" s="2627">
        <f>H75</f>
        <v>6</v>
      </c>
      <c r="I74" s="2603"/>
      <c r="J74" s="2603"/>
      <c r="K74" s="2627">
        <f>K75</f>
        <v>6</v>
      </c>
      <c r="L74" s="2629"/>
      <c r="M74" s="2618"/>
      <c r="N74" s="2636"/>
      <c r="O74" s="2618"/>
      <c r="P74" s="2618"/>
      <c r="Q74" s="2625"/>
      <c r="R74" s="2618"/>
      <c r="S74" s="2618"/>
      <c r="T74" s="2626"/>
      <c r="U74" s="2626"/>
      <c r="V74" s="2630"/>
      <c r="W74" s="2630"/>
      <c r="X74" s="2617"/>
      <c r="Y74" s="2631"/>
    </row>
    <row r="75" spans="1:25">
      <c r="A75" s="3181">
        <v>4151</v>
      </c>
      <c r="B75" s="3181"/>
      <c r="C75" s="3181" t="s">
        <v>109</v>
      </c>
      <c r="D75" s="3182" t="s">
        <v>3129</v>
      </c>
      <c r="E75" s="2603" t="s">
        <v>3130</v>
      </c>
      <c r="F75" s="2638"/>
      <c r="G75" s="2603"/>
      <c r="H75" s="2627">
        <f>H76</f>
        <v>6</v>
      </c>
      <c r="I75" s="2603"/>
      <c r="J75" s="2603"/>
      <c r="K75" s="2627">
        <f>K76</f>
        <v>6</v>
      </c>
      <c r="L75" s="2614">
        <f>L76</f>
        <v>1</v>
      </c>
      <c r="M75" s="2618">
        <v>0</v>
      </c>
      <c r="N75" s="2636"/>
      <c r="O75" s="2626"/>
      <c r="P75" s="2639">
        <f>P76</f>
        <v>4937104991</v>
      </c>
      <c r="Q75" s="2656">
        <f>Q76</f>
        <v>4937104991</v>
      </c>
      <c r="R75" s="2625">
        <f>R76</f>
        <v>1124550102</v>
      </c>
      <c r="S75" s="2625">
        <f>S76</f>
        <v>600493000</v>
      </c>
      <c r="T75" s="2626">
        <f t="shared" si="8"/>
        <v>0.22777520511513871</v>
      </c>
      <c r="U75" s="2626">
        <f>+IF(R75&gt;0,S75/R75,0)</f>
        <v>0.53398510118137898</v>
      </c>
      <c r="V75" s="2619"/>
      <c r="W75" s="2619"/>
      <c r="X75" s="2617"/>
      <c r="Y75" s="2620"/>
    </row>
    <row r="76" spans="1:25" ht="175.5">
      <c r="A76" s="3181"/>
      <c r="B76" s="3181"/>
      <c r="C76" s="3181"/>
      <c r="D76" s="3182"/>
      <c r="E76" s="2603" t="s">
        <v>3131</v>
      </c>
      <c r="F76" s="2638"/>
      <c r="G76" s="2603" t="s">
        <v>3132</v>
      </c>
      <c r="H76" s="2627">
        <f>K76</f>
        <v>6</v>
      </c>
      <c r="I76" s="2603" t="s">
        <v>3133</v>
      </c>
      <c r="J76" s="2603" t="s">
        <v>3134</v>
      </c>
      <c r="K76" s="2627">
        <v>6</v>
      </c>
      <c r="L76" s="2614">
        <v>1</v>
      </c>
      <c r="M76" s="2618">
        <v>0</v>
      </c>
      <c r="N76" s="2636">
        <f>+M76/K76</f>
        <v>0</v>
      </c>
      <c r="O76" s="2626">
        <f>IF(Q76&gt;0, N76,"na")</f>
        <v>0</v>
      </c>
      <c r="P76" s="2657">
        <v>4937104991</v>
      </c>
      <c r="Q76" s="2657">
        <v>4937104991</v>
      </c>
      <c r="R76" s="2625">
        <v>1124550102</v>
      </c>
      <c r="S76" s="2625">
        <v>600493000</v>
      </c>
      <c r="T76" s="2626">
        <f t="shared" si="8"/>
        <v>0.22777520511513871</v>
      </c>
      <c r="U76" s="2626">
        <f t="shared" si="8"/>
        <v>0.53398510118137898</v>
      </c>
      <c r="V76" s="2619">
        <v>45314</v>
      </c>
      <c r="W76" s="2619">
        <v>45656</v>
      </c>
      <c r="X76" s="2617" t="s">
        <v>5425</v>
      </c>
      <c r="Y76" s="2620" t="s">
        <v>3135</v>
      </c>
    </row>
    <row r="77" spans="1:25" ht="25.5">
      <c r="A77" s="2611"/>
      <c r="B77" s="2611">
        <v>53050020003</v>
      </c>
      <c r="C77" s="2611" t="s">
        <v>103</v>
      </c>
      <c r="D77" s="2612" t="s">
        <v>3136</v>
      </c>
      <c r="E77" s="2603" t="s">
        <v>3137</v>
      </c>
      <c r="F77" s="2627"/>
      <c r="G77" s="2603"/>
      <c r="H77" s="2627">
        <f>H78+H80</f>
        <v>72</v>
      </c>
      <c r="I77" s="2603"/>
      <c r="J77" s="2603"/>
      <c r="K77" s="2627">
        <f>K78+K80</f>
        <v>72</v>
      </c>
      <c r="L77" s="2614"/>
      <c r="M77" s="2618"/>
      <c r="N77" s="2636"/>
      <c r="O77" s="2618"/>
      <c r="P77" s="2618"/>
      <c r="Q77" s="2625"/>
      <c r="R77" s="2618"/>
      <c r="S77" s="2618"/>
      <c r="T77" s="2626"/>
      <c r="U77" s="2626"/>
      <c r="V77" s="2619"/>
      <c r="W77" s="2619"/>
      <c r="X77" s="2617"/>
      <c r="Y77" s="2620"/>
    </row>
    <row r="78" spans="1:25">
      <c r="A78" s="3181">
        <v>4151</v>
      </c>
      <c r="B78" s="3181"/>
      <c r="C78" s="3181" t="s">
        <v>109</v>
      </c>
      <c r="D78" s="3182" t="s">
        <v>3138</v>
      </c>
      <c r="E78" s="2603" t="s">
        <v>3139</v>
      </c>
      <c r="F78" s="2652"/>
      <c r="G78" s="2603"/>
      <c r="H78" s="2627">
        <f>H79</f>
        <v>7</v>
      </c>
      <c r="I78" s="2603"/>
      <c r="J78" s="2603"/>
      <c r="K78" s="2627">
        <f>K79</f>
        <v>7</v>
      </c>
      <c r="L78" s="2614">
        <f>L79</f>
        <v>1</v>
      </c>
      <c r="M78" s="2618">
        <v>0</v>
      </c>
      <c r="N78" s="2636"/>
      <c r="O78" s="2626"/>
      <c r="P78" s="2639">
        <f>P79</f>
        <v>3416769403</v>
      </c>
      <c r="Q78" s="2625">
        <f>Q79</f>
        <v>3416769403</v>
      </c>
      <c r="R78" s="2625">
        <f>R79</f>
        <v>0</v>
      </c>
      <c r="S78" s="2625">
        <f>S79</f>
        <v>0</v>
      </c>
      <c r="T78" s="2626">
        <f t="shared" si="8"/>
        <v>0</v>
      </c>
      <c r="U78" s="2626">
        <f t="shared" si="8"/>
        <v>0</v>
      </c>
      <c r="V78" s="2619"/>
      <c r="W78" s="2619"/>
      <c r="X78" s="2617"/>
      <c r="Y78" s="2620"/>
    </row>
    <row r="79" spans="1:25" ht="81">
      <c r="A79" s="3181"/>
      <c r="B79" s="3181"/>
      <c r="C79" s="3181"/>
      <c r="D79" s="3182"/>
      <c r="E79" s="2603" t="s">
        <v>3140</v>
      </c>
      <c r="F79" s="2652"/>
      <c r="G79" s="2603" t="s">
        <v>3141</v>
      </c>
      <c r="H79" s="2627">
        <f>K79</f>
        <v>7</v>
      </c>
      <c r="I79" s="2603" t="s">
        <v>3142</v>
      </c>
      <c r="J79" s="2603" t="s">
        <v>3143</v>
      </c>
      <c r="K79" s="2627">
        <v>7</v>
      </c>
      <c r="L79" s="2614">
        <v>1</v>
      </c>
      <c r="M79" s="2618">
        <v>0</v>
      </c>
      <c r="N79" s="2636">
        <f>+M79/K79</f>
        <v>0</v>
      </c>
      <c r="O79" s="2626">
        <f>IF(Q79&gt;0, N79,"na")</f>
        <v>0</v>
      </c>
      <c r="P79" s="2639">
        <v>3416769403</v>
      </c>
      <c r="Q79" s="2639">
        <v>3416769403</v>
      </c>
      <c r="R79" s="2618">
        <v>0</v>
      </c>
      <c r="S79" s="2625">
        <v>0</v>
      </c>
      <c r="T79" s="2626">
        <f t="shared" si="8"/>
        <v>0</v>
      </c>
      <c r="U79" s="2626">
        <f t="shared" si="8"/>
        <v>0</v>
      </c>
      <c r="V79" s="2619"/>
      <c r="W79" s="2619"/>
      <c r="X79" s="2617"/>
      <c r="Y79" s="2620" t="s">
        <v>2982</v>
      </c>
    </row>
    <row r="80" spans="1:25">
      <c r="A80" s="3181">
        <v>4151</v>
      </c>
      <c r="B80" s="3181"/>
      <c r="C80" s="3181" t="s">
        <v>109</v>
      </c>
      <c r="D80" s="3182" t="s">
        <v>3144</v>
      </c>
      <c r="E80" s="2603" t="s">
        <v>3145</v>
      </c>
      <c r="F80" s="2652"/>
      <c r="G80" s="2603"/>
      <c r="H80" s="2627">
        <f>H81</f>
        <v>65</v>
      </c>
      <c r="I80" s="2603"/>
      <c r="J80" s="2603"/>
      <c r="K80" s="2627">
        <f>K81</f>
        <v>65</v>
      </c>
      <c r="L80" s="2614">
        <f>L81</f>
        <v>1</v>
      </c>
      <c r="M80" s="2618">
        <v>0</v>
      </c>
      <c r="N80" s="2636"/>
      <c r="O80" s="2626"/>
      <c r="P80" s="2639">
        <f>P81</f>
        <v>188021335</v>
      </c>
      <c r="Q80" s="2625">
        <f>Q81</f>
        <v>188021335</v>
      </c>
      <c r="R80" s="2625">
        <v>0</v>
      </c>
      <c r="S80" s="2625">
        <v>0</v>
      </c>
      <c r="T80" s="2626">
        <f t="shared" si="8"/>
        <v>0</v>
      </c>
      <c r="U80" s="2626">
        <f>+IF(R80&gt;0,S80/R80,0)</f>
        <v>0</v>
      </c>
      <c r="V80" s="2619"/>
      <c r="W80" s="2619"/>
      <c r="X80" s="2617"/>
      <c r="Y80" s="2620"/>
    </row>
    <row r="81" spans="1:25" ht="94.5">
      <c r="A81" s="3181"/>
      <c r="B81" s="3181"/>
      <c r="C81" s="3181"/>
      <c r="D81" s="3182"/>
      <c r="E81" s="2603" t="s">
        <v>3146</v>
      </c>
      <c r="F81" s="2652"/>
      <c r="G81" s="2603" t="s">
        <v>3147</v>
      </c>
      <c r="H81" s="2627">
        <f>K81</f>
        <v>65</v>
      </c>
      <c r="I81" s="2603" t="s">
        <v>3148</v>
      </c>
      <c r="J81" s="2603" t="s">
        <v>3149</v>
      </c>
      <c r="K81" s="2627">
        <v>65</v>
      </c>
      <c r="L81" s="2614">
        <v>1</v>
      </c>
      <c r="M81" s="2618">
        <v>0</v>
      </c>
      <c r="N81" s="2636">
        <f>+M81/K81</f>
        <v>0</v>
      </c>
      <c r="O81" s="2626">
        <f>IF(Q81&gt;0, N81,"na")</f>
        <v>0</v>
      </c>
      <c r="P81" s="2639">
        <v>188021335</v>
      </c>
      <c r="Q81" s="2639">
        <v>188021335</v>
      </c>
      <c r="R81" s="2618">
        <v>0</v>
      </c>
      <c r="S81" s="2625">
        <v>0</v>
      </c>
      <c r="T81" s="2626">
        <f t="shared" si="8"/>
        <v>0</v>
      </c>
      <c r="U81" s="2626">
        <f t="shared" si="8"/>
        <v>0</v>
      </c>
      <c r="V81" s="2619"/>
      <c r="W81" s="2619"/>
      <c r="X81" s="2617"/>
      <c r="Y81" s="2620" t="s">
        <v>2982</v>
      </c>
    </row>
    <row r="82" spans="1:25" ht="51">
      <c r="A82" s="2611"/>
      <c r="B82" s="2611">
        <v>53050020011</v>
      </c>
      <c r="C82" s="2611" t="s">
        <v>103</v>
      </c>
      <c r="D82" s="2612" t="s">
        <v>3150</v>
      </c>
      <c r="E82" s="2603" t="s">
        <v>3151</v>
      </c>
      <c r="F82" s="2627"/>
      <c r="G82" s="2603"/>
      <c r="H82" s="2627">
        <f>H83</f>
        <v>540</v>
      </c>
      <c r="I82" s="2603"/>
      <c r="J82" s="2603"/>
      <c r="K82" s="2627">
        <f>K83</f>
        <v>540</v>
      </c>
      <c r="L82" s="2614"/>
      <c r="M82" s="2618"/>
      <c r="N82" s="2636"/>
      <c r="O82" s="2618"/>
      <c r="P82" s="2618"/>
      <c r="Q82" s="2625"/>
      <c r="R82" s="2618"/>
      <c r="S82" s="2618"/>
      <c r="T82" s="2626"/>
      <c r="U82" s="2626"/>
      <c r="V82" s="2630"/>
      <c r="W82" s="2630"/>
      <c r="X82" s="2617"/>
      <c r="Y82" s="2631"/>
    </row>
    <row r="83" spans="1:25">
      <c r="A83" s="3181">
        <v>4151</v>
      </c>
      <c r="B83" s="3181"/>
      <c r="C83" s="3181" t="s">
        <v>109</v>
      </c>
      <c r="D83" s="3186" t="s">
        <v>3152</v>
      </c>
      <c r="E83" s="2603" t="s">
        <v>3153</v>
      </c>
      <c r="F83" s="2652"/>
      <c r="G83" s="2603"/>
      <c r="H83" s="2627">
        <f>H84</f>
        <v>540</v>
      </c>
      <c r="I83" s="2603"/>
      <c r="J83" s="2603"/>
      <c r="K83" s="2627">
        <f>K84</f>
        <v>540</v>
      </c>
      <c r="L83" s="2614">
        <f>L84</f>
        <v>1</v>
      </c>
      <c r="M83" s="2618">
        <f>+M84</f>
        <v>40</v>
      </c>
      <c r="N83" s="2636"/>
      <c r="O83" s="2626"/>
      <c r="P83" s="2625">
        <f>P84</f>
        <v>854192351</v>
      </c>
      <c r="Q83" s="2625">
        <f>Q84</f>
        <v>854192351</v>
      </c>
      <c r="R83" s="2625">
        <f>R84</f>
        <v>270315000</v>
      </c>
      <c r="S83" s="2625">
        <f>S84</f>
        <v>44427000</v>
      </c>
      <c r="T83" s="2626">
        <f t="shared" si="8"/>
        <v>0.31645682577646966</v>
      </c>
      <c r="U83" s="2626">
        <f t="shared" si="8"/>
        <v>0.16435269962821153</v>
      </c>
      <c r="V83" s="2619"/>
      <c r="W83" s="2619"/>
      <c r="X83" s="2617"/>
      <c r="Y83" s="2620"/>
    </row>
    <row r="84" spans="1:25" ht="175.5">
      <c r="A84" s="3181"/>
      <c r="B84" s="3181"/>
      <c r="C84" s="3181"/>
      <c r="D84" s="3186"/>
      <c r="E84" s="2603" t="s">
        <v>3154</v>
      </c>
      <c r="F84" s="2652"/>
      <c r="G84" s="2603" t="s">
        <v>3155</v>
      </c>
      <c r="H84" s="2627">
        <f>K84</f>
        <v>540</v>
      </c>
      <c r="I84" s="2603" t="s">
        <v>3156</v>
      </c>
      <c r="J84" s="2603" t="s">
        <v>3157</v>
      </c>
      <c r="K84" s="2627">
        <v>540</v>
      </c>
      <c r="L84" s="2614">
        <v>1</v>
      </c>
      <c r="M84" s="2618">
        <v>40</v>
      </c>
      <c r="N84" s="2636">
        <f>+M84/K84</f>
        <v>7.407407407407407E-2</v>
      </c>
      <c r="O84" s="2626">
        <f>IF(Q84&gt;0, N84,"na")</f>
        <v>7.407407407407407E-2</v>
      </c>
      <c r="P84" s="2625">
        <v>854192351</v>
      </c>
      <c r="Q84" s="2625">
        <v>854192351</v>
      </c>
      <c r="R84" s="2625">
        <v>270315000</v>
      </c>
      <c r="S84" s="2625">
        <v>44427000</v>
      </c>
      <c r="T84" s="2626">
        <f t="shared" si="8"/>
        <v>0.31645682577646966</v>
      </c>
      <c r="U84" s="2626">
        <f t="shared" si="8"/>
        <v>0.16435269962821153</v>
      </c>
      <c r="V84" s="2619">
        <v>45314</v>
      </c>
      <c r="W84" s="2619">
        <v>45656</v>
      </c>
      <c r="X84" s="2617" t="s">
        <v>5426</v>
      </c>
      <c r="Y84" s="2620" t="s">
        <v>2982</v>
      </c>
    </row>
    <row r="85" spans="1:25">
      <c r="A85" s="615"/>
      <c r="B85" s="616"/>
      <c r="C85" s="615"/>
      <c r="D85" s="620"/>
      <c r="E85" s="620"/>
      <c r="F85" s="620"/>
      <c r="G85" s="620"/>
      <c r="H85" s="620"/>
      <c r="I85" s="620"/>
      <c r="J85" s="1617"/>
      <c r="K85" s="615"/>
      <c r="L85" s="615"/>
      <c r="M85" s="1617"/>
      <c r="N85" s="1617"/>
      <c r="O85" s="1617"/>
      <c r="P85" s="620"/>
      <c r="Q85" s="620"/>
      <c r="R85" s="620"/>
      <c r="S85" s="620"/>
      <c r="T85" s="2658"/>
      <c r="U85"/>
      <c r="V85" s="2659"/>
      <c r="W85" s="2659"/>
      <c r="X85" s="617"/>
      <c r="Y85" s="617"/>
    </row>
    <row r="86" spans="1:25">
      <c r="A86" s="615"/>
      <c r="B86" s="616" t="s">
        <v>36</v>
      </c>
      <c r="C86" s="350">
        <f>COUNTIF(C11:C84,"pr")</f>
        <v>26</v>
      </c>
      <c r="D86" s="620"/>
      <c r="E86" s="620" t="s">
        <v>112</v>
      </c>
      <c r="F86" s="620"/>
      <c r="G86" s="44">
        <f>COUNTIF(O11:O166,"na")</f>
        <v>0</v>
      </c>
      <c r="H86" s="620"/>
      <c r="I86" s="620"/>
      <c r="J86" s="1617"/>
      <c r="K86" s="615"/>
      <c r="L86" s="615"/>
      <c r="M86" s="1617"/>
      <c r="N86" s="1617" t="s">
        <v>113</v>
      </c>
      <c r="O86" s="618">
        <f>AVERAGE(O11:O84)</f>
        <v>3.0657993820993823E-2</v>
      </c>
      <c r="P86" s="619">
        <f>P11+P18+P23+P27+P33+P35+P37+P39+P41+P44+P46+P49+P51+P53+P56+P58+P60+P62+P64+P66+P68+P72+P75+P78+P80+P83</f>
        <v>142992124396</v>
      </c>
      <c r="Q86" s="619">
        <f>Q11+Q18+Q23+Q27+Q33+Q35+Q37+Q39+Q41+Q44+Q46+Q49+Q51+Q53+Q56+Q58+Q60+Q62+Q64+Q66+Q68+Q72+Q75+Q78+Q80+Q83</f>
        <v>181714438289</v>
      </c>
      <c r="R86" s="619">
        <f>R11+R18+R23+R27+R33+R35+R37+R39+R41+R44+R46+R49+R51+R53+R56+R58+R60+R62+R64+R66+R68+R72+R75+R78+R80+R83</f>
        <v>60158468842</v>
      </c>
      <c r="S86" s="619">
        <f>S11+S18+S23+S27+S33+S35+S37+S39+S41+S44+S46+S49+S51+S53+S56+S58+S60+S62+S64+S66+S68+S72+S75+S78+S80+S83</f>
        <v>5630252113</v>
      </c>
      <c r="T86" s="2660">
        <f>IF(Q86=0,0,R86/Q86)</f>
        <v>0.33106047823411544</v>
      </c>
      <c r="U86" s="2660">
        <f>IF(R86=0,0,S86/R86)</f>
        <v>9.3590349312035775E-2</v>
      </c>
      <c r="V86" s="2661"/>
      <c r="W86" s="2661"/>
      <c r="X86" s="617"/>
      <c r="Y86" s="617"/>
    </row>
    <row r="87" spans="1:25" ht="49.5">
      <c r="A87" s="615"/>
      <c r="B87" s="616"/>
      <c r="C87" s="615"/>
      <c r="D87" s="620"/>
      <c r="E87" s="620"/>
      <c r="F87" s="620"/>
      <c r="G87" s="620"/>
      <c r="H87" s="620"/>
      <c r="I87" s="620"/>
      <c r="J87" s="1617"/>
      <c r="K87" s="615"/>
      <c r="L87" s="615"/>
      <c r="M87" s="1617"/>
      <c r="N87" s="2662" t="s">
        <v>119</v>
      </c>
      <c r="O87" s="47">
        <f>COUNTIF(O11:O84,0)</f>
        <v>22</v>
      </c>
      <c r="P87" s="619">
        <v>142992124396</v>
      </c>
      <c r="Q87" s="2663">
        <v>181714438289</v>
      </c>
      <c r="R87" s="2663">
        <v>60158468842</v>
      </c>
      <c r="S87" s="2663">
        <v>5630252113</v>
      </c>
      <c r="T87" s="597"/>
      <c r="U87" s="597"/>
      <c r="V87" s="2661"/>
      <c r="W87" s="2661"/>
      <c r="X87" s="617"/>
      <c r="Y87" s="617"/>
    </row>
  </sheetData>
  <autoFilter ref="A5:Y6" xr:uid="{00000000-0009-0000-0000-000011000000}"/>
  <mergeCells count="151">
    <mergeCell ref="A80:A81"/>
    <mergeCell ref="B80:B81"/>
    <mergeCell ref="C80:C81"/>
    <mergeCell ref="D80:D81"/>
    <mergeCell ref="A83:A84"/>
    <mergeCell ref="B83:B84"/>
    <mergeCell ref="C83:C84"/>
    <mergeCell ref="D83:D84"/>
    <mergeCell ref="A75:A76"/>
    <mergeCell ref="B75:B76"/>
    <mergeCell ref="C75:C76"/>
    <mergeCell ref="D75:D76"/>
    <mergeCell ref="A78:A79"/>
    <mergeCell ref="B78:B79"/>
    <mergeCell ref="C78:C79"/>
    <mergeCell ref="D78:D79"/>
    <mergeCell ref="A64:A65"/>
    <mergeCell ref="B64:B65"/>
    <mergeCell ref="C64:C65"/>
    <mergeCell ref="D64:D65"/>
    <mergeCell ref="A66:A67"/>
    <mergeCell ref="B66:B67"/>
    <mergeCell ref="Y69:Y70"/>
    <mergeCell ref="A72:A73"/>
    <mergeCell ref="B72:B73"/>
    <mergeCell ref="C72:C73"/>
    <mergeCell ref="D72:D73"/>
    <mergeCell ref="A68:A70"/>
    <mergeCell ref="B68:B70"/>
    <mergeCell ref="C68:C70"/>
    <mergeCell ref="D68:D70"/>
    <mergeCell ref="G69:G70"/>
    <mergeCell ref="O69:O70"/>
    <mergeCell ref="C66:C67"/>
    <mergeCell ref="D66:D67"/>
    <mergeCell ref="A60:A61"/>
    <mergeCell ref="B60:B61"/>
    <mergeCell ref="C60:C61"/>
    <mergeCell ref="D60:D61"/>
    <mergeCell ref="A62:A63"/>
    <mergeCell ref="B62:B63"/>
    <mergeCell ref="C62:C63"/>
    <mergeCell ref="D62:D63"/>
    <mergeCell ref="A56:A57"/>
    <mergeCell ref="B56:B57"/>
    <mergeCell ref="C56:C57"/>
    <mergeCell ref="D56:D57"/>
    <mergeCell ref="A58:A59"/>
    <mergeCell ref="B58:B59"/>
    <mergeCell ref="C58:C59"/>
    <mergeCell ref="D58:D59"/>
    <mergeCell ref="A51:A52"/>
    <mergeCell ref="B51:B52"/>
    <mergeCell ref="C51:C52"/>
    <mergeCell ref="D51:D52"/>
    <mergeCell ref="A53:A54"/>
    <mergeCell ref="B53:B54"/>
    <mergeCell ref="C53:C54"/>
    <mergeCell ref="D53:D54"/>
    <mergeCell ref="Y47:Y48"/>
    <mergeCell ref="A49:A50"/>
    <mergeCell ref="C49:C50"/>
    <mergeCell ref="D49:D50"/>
    <mergeCell ref="A46:A48"/>
    <mergeCell ref="B46:B47"/>
    <mergeCell ref="C46:C48"/>
    <mergeCell ref="D46:D48"/>
    <mergeCell ref="G47:G48"/>
    <mergeCell ref="O47:O48"/>
    <mergeCell ref="G42:G43"/>
    <mergeCell ref="Y42:Y43"/>
    <mergeCell ref="A44:A45"/>
    <mergeCell ref="B44:B45"/>
    <mergeCell ref="C44:C45"/>
    <mergeCell ref="D44:D45"/>
    <mergeCell ref="A39:A40"/>
    <mergeCell ref="B39:B40"/>
    <mergeCell ref="C39:C40"/>
    <mergeCell ref="D39:D40"/>
    <mergeCell ref="A41:A43"/>
    <mergeCell ref="B41:B43"/>
    <mergeCell ref="C41:C43"/>
    <mergeCell ref="D41:D43"/>
    <mergeCell ref="O42:O43"/>
    <mergeCell ref="A35:A36"/>
    <mergeCell ref="B35:B36"/>
    <mergeCell ref="C35:C36"/>
    <mergeCell ref="D35:D36"/>
    <mergeCell ref="A37:A38"/>
    <mergeCell ref="B37:B38"/>
    <mergeCell ref="C37:C38"/>
    <mergeCell ref="D37:D38"/>
    <mergeCell ref="G28:G30"/>
    <mergeCell ref="Y28:Y30"/>
    <mergeCell ref="A33:A34"/>
    <mergeCell ref="B33:B34"/>
    <mergeCell ref="C33:C34"/>
    <mergeCell ref="D33:D34"/>
    <mergeCell ref="A23:A24"/>
    <mergeCell ref="B23:B24"/>
    <mergeCell ref="C23:C24"/>
    <mergeCell ref="D23:D24"/>
    <mergeCell ref="A27:A30"/>
    <mergeCell ref="B27:B30"/>
    <mergeCell ref="C27:C30"/>
    <mergeCell ref="D27:D30"/>
    <mergeCell ref="O28:O30"/>
    <mergeCell ref="X28:X29"/>
    <mergeCell ref="Y12:Y13"/>
    <mergeCell ref="A18:A19"/>
    <mergeCell ref="B18:B19"/>
    <mergeCell ref="C18:C19"/>
    <mergeCell ref="D18:D19"/>
    <mergeCell ref="A11:A13"/>
    <mergeCell ref="B11:B13"/>
    <mergeCell ref="C11:C13"/>
    <mergeCell ref="D11:D13"/>
    <mergeCell ref="G12:G13"/>
    <mergeCell ref="O12:O13"/>
    <mergeCell ref="A1:X1"/>
    <mergeCell ref="V3:W3"/>
    <mergeCell ref="J5:J6"/>
    <mergeCell ref="C5:C6"/>
    <mergeCell ref="D5:D6"/>
    <mergeCell ref="M5:M6"/>
    <mergeCell ref="P5:P6"/>
    <mergeCell ref="X5:X6"/>
    <mergeCell ref="N5:N6"/>
    <mergeCell ref="S3:U3"/>
    <mergeCell ref="A4:Y4"/>
    <mergeCell ref="A5:A6"/>
    <mergeCell ref="T5:T6"/>
    <mergeCell ref="W5:W6"/>
    <mergeCell ref="A2:Y2"/>
    <mergeCell ref="A3:B3"/>
    <mergeCell ref="C3:R3"/>
    <mergeCell ref="Y5:Y6"/>
    <mergeCell ref="S5:S6"/>
    <mergeCell ref="B5:B6"/>
    <mergeCell ref="H5:H6"/>
    <mergeCell ref="Q5:Q6"/>
    <mergeCell ref="V5:V6"/>
    <mergeCell ref="L5:L6"/>
    <mergeCell ref="O5:O6"/>
    <mergeCell ref="R5:R6"/>
    <mergeCell ref="K5:K6"/>
    <mergeCell ref="U5:U6"/>
    <mergeCell ref="E5:E6"/>
    <mergeCell ref="F5:F6"/>
    <mergeCell ref="I5:I6"/>
    <mergeCell ref="G5:G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76"/>
  <sheetViews>
    <sheetView topLeftCell="D64" zoomScale="70" zoomScaleNormal="70" zoomScaleSheetLayoutView="100" workbookViewId="0">
      <selection activeCell="O74" sqref="O74"/>
    </sheetView>
  </sheetViews>
  <sheetFormatPr baseColWidth="10" defaultColWidth="11.42578125" defaultRowHeight="16.5"/>
  <cols>
    <col min="1" max="1" width="13" style="2" customWidth="1"/>
    <col min="2" max="2" width="13.140625" style="3" customWidth="1"/>
    <col min="3" max="3" width="8.5703125" style="2" customWidth="1"/>
    <col min="4" max="4" width="55" style="3" customWidth="1"/>
    <col min="5" max="5" width="19.85546875" style="3" customWidth="1"/>
    <col min="6" max="8" width="12.42578125" style="3" customWidth="1"/>
    <col min="9" max="9" width="17.7109375" style="3" customWidth="1"/>
    <col min="10" max="10" width="17.5703125" style="2" customWidth="1"/>
    <col min="11" max="13" width="13.140625" style="16" customWidth="1"/>
    <col min="14" max="14" width="12.7109375" style="3" customWidth="1"/>
    <col min="15" max="15" width="11.7109375" style="2" customWidth="1"/>
    <col min="16" max="16" width="15.5703125" style="3" customWidth="1"/>
    <col min="17" max="17" width="16.140625" style="3" customWidth="1"/>
    <col min="18" max="18" width="16.28515625" style="3" customWidth="1"/>
    <col min="19" max="19" width="17.85546875" style="3" customWidth="1"/>
    <col min="20" max="21" width="12.7109375" style="3" customWidth="1"/>
    <col min="22" max="23" width="10.7109375" style="3" customWidth="1"/>
    <col min="24" max="24" width="34" style="3" customWidth="1"/>
    <col min="25" max="25" width="17.140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3188" t="s">
        <v>56</v>
      </c>
      <c r="D3" s="3189"/>
      <c r="E3" s="3189"/>
      <c r="F3" s="3189"/>
      <c r="G3" s="3189"/>
      <c r="H3" s="3189"/>
      <c r="I3" s="3189"/>
      <c r="J3" s="3189"/>
      <c r="K3" s="3189"/>
      <c r="L3" s="3189"/>
      <c r="M3" s="3189"/>
      <c r="N3" s="3189"/>
      <c r="O3" s="3189"/>
      <c r="P3" s="3189"/>
      <c r="Q3" s="3189"/>
      <c r="R3" s="3190"/>
      <c r="S3" s="2834" t="s">
        <v>17</v>
      </c>
      <c r="T3" s="2834"/>
      <c r="U3" s="2834"/>
      <c r="V3" s="2835">
        <v>45473</v>
      </c>
      <c r="W3" s="2834"/>
      <c r="X3" s="40" t="s">
        <v>5</v>
      </c>
      <c r="Y3" s="41">
        <v>2024</v>
      </c>
    </row>
    <row r="4" spans="1:25"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5"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7" t="s">
        <v>12</v>
      </c>
      <c r="O5" s="2837" t="s">
        <v>72</v>
      </c>
      <c r="P5" s="2839" t="s">
        <v>1</v>
      </c>
      <c r="Q5" s="2837" t="s">
        <v>13</v>
      </c>
      <c r="R5" s="2837" t="s">
        <v>14</v>
      </c>
      <c r="S5" s="2837" t="s">
        <v>16</v>
      </c>
      <c r="T5" s="2837" t="s">
        <v>15</v>
      </c>
      <c r="U5" s="2837" t="s">
        <v>89</v>
      </c>
      <c r="V5" s="2839" t="s">
        <v>6</v>
      </c>
      <c r="W5" s="2839" t="s">
        <v>7</v>
      </c>
      <c r="X5" s="2837" t="s">
        <v>0</v>
      </c>
      <c r="Y5" s="2838" t="s">
        <v>76</v>
      </c>
    </row>
    <row r="6" spans="1:25" ht="42.75" customHeight="1">
      <c r="A6" s="2881"/>
      <c r="B6" s="2881"/>
      <c r="C6" s="2881"/>
      <c r="D6" s="2881"/>
      <c r="E6" s="2881"/>
      <c r="F6" s="2881"/>
      <c r="G6" s="2881"/>
      <c r="H6" s="2881"/>
      <c r="I6" s="2881"/>
      <c r="J6" s="2881"/>
      <c r="K6" s="2881"/>
      <c r="L6" s="2881"/>
      <c r="M6" s="2883"/>
      <c r="N6" s="2882"/>
      <c r="O6" s="2882"/>
      <c r="P6" s="2884"/>
      <c r="Q6" s="2882"/>
      <c r="R6" s="2882"/>
      <c r="S6" s="2882"/>
      <c r="T6" s="2882"/>
      <c r="U6" s="2882"/>
      <c r="V6" s="2884"/>
      <c r="W6" s="2884"/>
      <c r="X6" s="2882"/>
      <c r="Y6" s="2883"/>
    </row>
    <row r="7" spans="1:25">
      <c r="A7" s="684"/>
      <c r="B7" s="138">
        <v>51</v>
      </c>
      <c r="C7" s="78" t="s">
        <v>100</v>
      </c>
      <c r="D7" s="1639" t="s">
        <v>134</v>
      </c>
      <c r="E7" s="684"/>
      <c r="F7" s="684"/>
      <c r="G7" s="684"/>
      <c r="H7" s="684"/>
      <c r="I7" s="685"/>
      <c r="J7" s="684"/>
      <c r="K7" s="684"/>
      <c r="L7" s="684"/>
      <c r="M7" s="686"/>
      <c r="N7" s="684"/>
      <c r="O7" s="687"/>
      <c r="P7" s="688"/>
      <c r="Q7" s="688"/>
      <c r="R7" s="688"/>
      <c r="S7" s="688"/>
      <c r="T7" s="689"/>
      <c r="U7" s="689"/>
      <c r="V7" s="684"/>
      <c r="W7" s="684"/>
      <c r="X7" s="684"/>
      <c r="Y7" s="684"/>
    </row>
    <row r="8" spans="1:25">
      <c r="A8" s="628"/>
      <c r="B8" s="130">
        <v>5101</v>
      </c>
      <c r="C8" s="82" t="s">
        <v>101</v>
      </c>
      <c r="D8" s="83" t="s">
        <v>1468</v>
      </c>
      <c r="E8" s="628"/>
      <c r="F8" s="628"/>
      <c r="G8" s="628"/>
      <c r="H8" s="628"/>
      <c r="I8" s="627"/>
      <c r="J8" s="628"/>
      <c r="K8" s="628"/>
      <c r="L8" s="628"/>
      <c r="M8" s="629"/>
      <c r="N8" s="628"/>
      <c r="O8" s="628"/>
      <c r="P8" s="630"/>
      <c r="Q8" s="630"/>
      <c r="R8" s="630"/>
      <c r="S8" s="630"/>
      <c r="T8" s="631"/>
      <c r="U8" s="631"/>
      <c r="V8" s="628"/>
      <c r="W8" s="628"/>
      <c r="X8" s="628"/>
      <c r="Y8" s="628"/>
    </row>
    <row r="9" spans="1:25">
      <c r="A9" s="632"/>
      <c r="B9" s="129">
        <v>5104001</v>
      </c>
      <c r="C9" s="94" t="s">
        <v>102</v>
      </c>
      <c r="D9" s="87" t="s">
        <v>1469</v>
      </c>
      <c r="E9" s="632"/>
      <c r="F9" s="632"/>
      <c r="G9" s="632"/>
      <c r="H9" s="632"/>
      <c r="I9" s="633"/>
      <c r="J9" s="632"/>
      <c r="K9" s="632"/>
      <c r="L9" s="632"/>
      <c r="M9" s="634"/>
      <c r="N9" s="632"/>
      <c r="O9" s="632"/>
      <c r="P9" s="635"/>
      <c r="Q9" s="635"/>
      <c r="R9" s="635"/>
      <c r="S9" s="635"/>
      <c r="T9" s="636"/>
      <c r="U9" s="636"/>
      <c r="V9" s="632"/>
      <c r="W9" s="632"/>
      <c r="X9" s="632"/>
      <c r="Y9" s="632"/>
    </row>
    <row r="10" spans="1:25">
      <c r="A10" s="637"/>
      <c r="B10" s="111">
        <v>51010010042</v>
      </c>
      <c r="C10" s="112" t="s">
        <v>103</v>
      </c>
      <c r="D10" s="101" t="s">
        <v>3158</v>
      </c>
      <c r="E10" s="637"/>
      <c r="F10" s="111"/>
      <c r="G10" s="638"/>
      <c r="H10" s="609"/>
      <c r="I10" s="639"/>
      <c r="J10" s="638"/>
      <c r="K10" s="637"/>
      <c r="L10" s="637"/>
      <c r="M10" s="640"/>
      <c r="N10" s="637"/>
      <c r="O10" s="637"/>
      <c r="P10" s="641"/>
      <c r="Q10" s="641"/>
      <c r="R10" s="641"/>
      <c r="S10" s="641"/>
      <c r="T10" s="642"/>
      <c r="U10" s="642"/>
      <c r="V10" s="637"/>
      <c r="W10" s="637"/>
      <c r="X10" s="637"/>
      <c r="Y10" s="637"/>
    </row>
    <row r="11" spans="1:25">
      <c r="A11" s="3191">
        <v>4152</v>
      </c>
      <c r="B11" s="643"/>
      <c r="C11" s="3193" t="s">
        <v>451</v>
      </c>
      <c r="D11" s="3194" t="s">
        <v>3159</v>
      </c>
      <c r="E11" s="128" t="s">
        <v>3160</v>
      </c>
      <c r="F11" s="90"/>
      <c r="G11" s="73"/>
      <c r="H11" s="90"/>
      <c r="I11" s="73"/>
      <c r="J11" s="73"/>
      <c r="K11" s="97">
        <f>SUM(K13)</f>
        <v>50</v>
      </c>
      <c r="L11" s="228">
        <f>SUM(L12:L13)</f>
        <v>1</v>
      </c>
      <c r="M11" s="644"/>
      <c r="N11" s="96">
        <f>SUM(N12:N13)</f>
        <v>0.25</v>
      </c>
      <c r="O11" s="3195">
        <f>IF(Q11&gt;0,N11,"NA")</f>
        <v>0.25</v>
      </c>
      <c r="P11" s="216">
        <f>SUM(P12:P13)</f>
        <v>6136838799</v>
      </c>
      <c r="Q11" s="216">
        <f>SUM(Q12:Q13)</f>
        <v>6136838799</v>
      </c>
      <c r="R11" s="216">
        <f>SUM(R12:R13)</f>
        <v>101324000</v>
      </c>
      <c r="S11" s="216">
        <f>SUM(S12:S13)</f>
        <v>101324000</v>
      </c>
      <c r="T11" s="96">
        <f t="shared" ref="T11:U13" si="0">IF(Q11=0,0,R11/Q11)</f>
        <v>1.6510780764929133E-2</v>
      </c>
      <c r="U11" s="96">
        <f t="shared" si="0"/>
        <v>1</v>
      </c>
      <c r="V11" s="221"/>
      <c r="W11" s="221"/>
      <c r="X11" s="643"/>
      <c r="Y11" s="643"/>
    </row>
    <row r="12" spans="1:25" ht="54">
      <c r="A12" s="3192"/>
      <c r="B12" s="643"/>
      <c r="C12" s="3192"/>
      <c r="D12" s="3192"/>
      <c r="E12" s="589" t="s">
        <v>3161</v>
      </c>
      <c r="F12" s="110"/>
      <c r="G12" s="92"/>
      <c r="H12" s="89"/>
      <c r="I12" s="110" t="s">
        <v>3162</v>
      </c>
      <c r="J12" s="92" t="s">
        <v>3163</v>
      </c>
      <c r="K12" s="97">
        <v>1</v>
      </c>
      <c r="L12" s="228">
        <v>0.3</v>
      </c>
      <c r="M12" s="644">
        <v>1</v>
      </c>
      <c r="N12" s="96">
        <v>0.25</v>
      </c>
      <c r="O12" s="3196"/>
      <c r="P12" s="216">
        <v>1859438800</v>
      </c>
      <c r="Q12" s="216">
        <v>2632938800</v>
      </c>
      <c r="R12" s="216">
        <v>101324000</v>
      </c>
      <c r="S12" s="216">
        <v>101324000</v>
      </c>
      <c r="T12" s="96">
        <f t="shared" si="0"/>
        <v>3.8483234019719717E-2</v>
      </c>
      <c r="U12" s="96">
        <f t="shared" si="0"/>
        <v>1</v>
      </c>
      <c r="V12" s="221">
        <v>45306</v>
      </c>
      <c r="W12" s="221">
        <v>45656</v>
      </c>
      <c r="X12" s="110" t="s">
        <v>5427</v>
      </c>
      <c r="Y12" s="3191" t="s">
        <v>3164</v>
      </c>
    </row>
    <row r="13" spans="1:25" ht="108">
      <c r="A13" s="3192"/>
      <c r="B13" s="643"/>
      <c r="C13" s="3192"/>
      <c r="D13" s="3192"/>
      <c r="E13" s="589" t="s">
        <v>3165</v>
      </c>
      <c r="F13" s="110"/>
      <c r="G13" s="608" t="s">
        <v>3166</v>
      </c>
      <c r="H13" s="89"/>
      <c r="I13" s="92" t="s">
        <v>3167</v>
      </c>
      <c r="J13" s="92" t="s">
        <v>3168</v>
      </c>
      <c r="K13" s="97">
        <v>50</v>
      </c>
      <c r="L13" s="228">
        <v>0.7</v>
      </c>
      <c r="M13" s="644"/>
      <c r="N13" s="96">
        <v>0</v>
      </c>
      <c r="O13" s="3196"/>
      <c r="P13" s="216">
        <v>4277399999</v>
      </c>
      <c r="Q13" s="702">
        <v>3503899999</v>
      </c>
      <c r="R13" s="216">
        <v>0</v>
      </c>
      <c r="S13" s="216">
        <v>0</v>
      </c>
      <c r="T13" s="96">
        <f t="shared" si="0"/>
        <v>0</v>
      </c>
      <c r="U13" s="96">
        <f t="shared" si="0"/>
        <v>0</v>
      </c>
      <c r="V13" s="221"/>
      <c r="W13" s="221"/>
      <c r="X13" s="110"/>
      <c r="Y13" s="3191"/>
    </row>
    <row r="14" spans="1:25">
      <c r="A14" s="130"/>
      <c r="B14" s="114">
        <v>53</v>
      </c>
      <c r="C14" s="82" t="s">
        <v>100</v>
      </c>
      <c r="D14" s="627" t="s">
        <v>3169</v>
      </c>
      <c r="E14" s="130"/>
      <c r="F14" s="130"/>
      <c r="G14" s="85"/>
      <c r="H14" s="82"/>
      <c r="I14" s="85"/>
      <c r="J14" s="85"/>
      <c r="K14" s="645"/>
      <c r="L14" s="646"/>
      <c r="M14" s="647"/>
      <c r="N14" s="700"/>
      <c r="O14" s="697"/>
      <c r="P14" s="84"/>
      <c r="Q14" s="84"/>
      <c r="R14" s="84"/>
      <c r="S14" s="84" t="s">
        <v>3170</v>
      </c>
      <c r="T14" s="700"/>
      <c r="U14" s="700"/>
      <c r="V14" s="648"/>
      <c r="W14" s="648"/>
      <c r="X14" s="130"/>
      <c r="Y14" s="130"/>
    </row>
    <row r="15" spans="1:25">
      <c r="A15" s="81"/>
      <c r="B15" s="82">
        <v>5304</v>
      </c>
      <c r="C15" s="82" t="s">
        <v>101</v>
      </c>
      <c r="D15" s="83" t="s">
        <v>181</v>
      </c>
      <c r="E15" s="130"/>
      <c r="F15" s="82"/>
      <c r="G15" s="85"/>
      <c r="H15" s="82"/>
      <c r="I15" s="85"/>
      <c r="J15" s="81"/>
      <c r="K15" s="81"/>
      <c r="L15" s="81"/>
      <c r="M15" s="649"/>
      <c r="N15" s="698"/>
      <c r="O15" s="698"/>
      <c r="P15" s="84"/>
      <c r="Q15" s="84"/>
      <c r="R15" s="84"/>
      <c r="S15" s="84"/>
      <c r="T15" s="700"/>
      <c r="U15" s="700"/>
      <c r="V15" s="650"/>
      <c r="W15" s="650"/>
      <c r="X15" s="82"/>
      <c r="Y15" s="82"/>
    </row>
    <row r="16" spans="1:25">
      <c r="A16" s="86"/>
      <c r="B16" s="94">
        <v>5304002</v>
      </c>
      <c r="C16" s="94" t="s">
        <v>102</v>
      </c>
      <c r="D16" s="87" t="s">
        <v>3171</v>
      </c>
      <c r="E16" s="129"/>
      <c r="F16" s="94"/>
      <c r="G16" s="86"/>
      <c r="H16" s="94"/>
      <c r="I16" s="93"/>
      <c r="J16" s="86"/>
      <c r="K16" s="86"/>
      <c r="L16" s="86"/>
      <c r="M16" s="651"/>
      <c r="N16" s="699"/>
      <c r="O16" s="699"/>
      <c r="P16" s="95"/>
      <c r="Q16" s="95"/>
      <c r="R16" s="95"/>
      <c r="S16" s="95"/>
      <c r="T16" s="707"/>
      <c r="U16" s="707"/>
      <c r="V16" s="652"/>
      <c r="W16" s="652"/>
      <c r="X16" s="94"/>
      <c r="Y16" s="94"/>
    </row>
    <row r="17" spans="1:25">
      <c r="A17" s="88"/>
      <c r="B17" s="70">
        <v>53040020006</v>
      </c>
      <c r="C17" s="112" t="s">
        <v>103</v>
      </c>
      <c r="D17" s="101" t="s">
        <v>3172</v>
      </c>
      <c r="E17" s="70"/>
      <c r="F17" s="70"/>
      <c r="G17" s="88"/>
      <c r="H17" s="70"/>
      <c r="I17" s="71"/>
      <c r="J17" s="88"/>
      <c r="K17" s="88"/>
      <c r="L17" s="88"/>
      <c r="M17" s="653"/>
      <c r="N17" s="188"/>
      <c r="O17" s="188"/>
      <c r="P17" s="76"/>
      <c r="Q17" s="76"/>
      <c r="R17" s="76"/>
      <c r="S17" s="76"/>
      <c r="T17" s="701"/>
      <c r="U17" s="701"/>
      <c r="V17" s="655"/>
      <c r="W17" s="655"/>
      <c r="X17" s="70"/>
      <c r="Y17" s="70"/>
    </row>
    <row r="18" spans="1:25">
      <c r="A18" s="3191">
        <v>4152</v>
      </c>
      <c r="B18" s="72"/>
      <c r="C18" s="3197" t="s">
        <v>451</v>
      </c>
      <c r="D18" s="3198" t="s">
        <v>3173</v>
      </c>
      <c r="E18" s="588" t="s">
        <v>3174</v>
      </c>
      <c r="F18" s="72"/>
      <c r="G18" s="73"/>
      <c r="H18" s="72"/>
      <c r="I18" s="92"/>
      <c r="J18" s="73"/>
      <c r="K18" s="73">
        <f>SUM(K19)</f>
        <v>40</v>
      </c>
      <c r="L18" s="215">
        <f>SUM(L19)</f>
        <v>1</v>
      </c>
      <c r="M18" s="656"/>
      <c r="N18" s="96">
        <f>SUM(N19)</f>
        <v>0</v>
      </c>
      <c r="O18" s="3200">
        <f>IF(Q18&gt;0,N18,"NA")</f>
        <v>0</v>
      </c>
      <c r="P18" s="216">
        <f>SUM(P19)</f>
        <v>1053825005</v>
      </c>
      <c r="Q18" s="216">
        <f>SUM(Q19)</f>
        <v>1053825005</v>
      </c>
      <c r="R18" s="216">
        <f>SUM(R19)</f>
        <v>0</v>
      </c>
      <c r="S18" s="216">
        <f>SUM(S19)</f>
        <v>0</v>
      </c>
      <c r="T18" s="96">
        <f>IF(Q18=0,0,R18/Q18)</f>
        <v>0</v>
      </c>
      <c r="U18" s="96">
        <f>IF(R18=0,0,S18/R18)</f>
        <v>0</v>
      </c>
      <c r="V18" s="217"/>
      <c r="W18" s="221"/>
      <c r="X18" s="72"/>
      <c r="Y18" s="72"/>
    </row>
    <row r="19" spans="1:25" ht="67.5">
      <c r="A19" s="3192"/>
      <c r="B19" s="72"/>
      <c r="C19" s="3192"/>
      <c r="D19" s="3199"/>
      <c r="E19" s="589" t="s">
        <v>3175</v>
      </c>
      <c r="F19" s="72"/>
      <c r="G19" s="92" t="s">
        <v>3176</v>
      </c>
      <c r="H19" s="72"/>
      <c r="I19" s="156" t="s">
        <v>3177</v>
      </c>
      <c r="J19" s="92" t="s">
        <v>3178</v>
      </c>
      <c r="K19" s="73">
        <v>40</v>
      </c>
      <c r="L19" s="215">
        <v>1</v>
      </c>
      <c r="M19" s="657"/>
      <c r="N19" s="96">
        <v>0</v>
      </c>
      <c r="O19" s="3196"/>
      <c r="P19" s="146">
        <v>1053825005</v>
      </c>
      <c r="Q19" s="216">
        <v>1053825005</v>
      </c>
      <c r="R19" s="216">
        <v>0</v>
      </c>
      <c r="S19" s="216">
        <v>0</v>
      </c>
      <c r="T19" s="96">
        <f>IF(Q19=0,0,R19/Q19)</f>
        <v>0</v>
      </c>
      <c r="U19" s="96">
        <f>IF(R19=0,0,S19/R19)</f>
        <v>0</v>
      </c>
      <c r="V19" s="217"/>
      <c r="W19" s="221"/>
      <c r="X19" s="128"/>
      <c r="Y19" s="128" t="s">
        <v>3164</v>
      </c>
    </row>
    <row r="20" spans="1:25">
      <c r="A20" s="86"/>
      <c r="B20" s="94">
        <v>5304003</v>
      </c>
      <c r="C20" s="94" t="s">
        <v>102</v>
      </c>
      <c r="D20" s="87" t="s">
        <v>3005</v>
      </c>
      <c r="E20" s="129"/>
      <c r="F20" s="94"/>
      <c r="G20" s="86"/>
      <c r="H20" s="94"/>
      <c r="I20" s="93"/>
      <c r="J20" s="86"/>
      <c r="K20" s="86"/>
      <c r="L20" s="86"/>
      <c r="M20" s="651"/>
      <c r="N20" s="699"/>
      <c r="O20" s="699"/>
      <c r="P20" s="95"/>
      <c r="Q20" s="95"/>
      <c r="R20" s="95"/>
      <c r="S20" s="95"/>
      <c r="T20" s="707"/>
      <c r="U20" s="707"/>
      <c r="V20" s="652"/>
      <c r="W20" s="652"/>
      <c r="X20" s="94"/>
      <c r="Y20" s="94"/>
    </row>
    <row r="21" spans="1:25" ht="25.5">
      <c r="A21" s="88"/>
      <c r="B21" s="111">
        <v>53040030011</v>
      </c>
      <c r="C21" s="112" t="s">
        <v>103</v>
      </c>
      <c r="D21" s="101" t="s">
        <v>3179</v>
      </c>
      <c r="E21" s="111"/>
      <c r="F21" s="70"/>
      <c r="G21" s="88"/>
      <c r="H21" s="70"/>
      <c r="I21" s="71"/>
      <c r="J21" s="88"/>
      <c r="K21" s="88"/>
      <c r="L21" s="658"/>
      <c r="M21" s="659"/>
      <c r="N21" s="188"/>
      <c r="O21" s="225"/>
      <c r="P21" s="76"/>
      <c r="Q21" s="76"/>
      <c r="R21" s="76"/>
      <c r="S21" s="76"/>
      <c r="T21" s="701"/>
      <c r="U21" s="701"/>
      <c r="V21" s="655"/>
      <c r="W21" s="655"/>
      <c r="X21" s="111"/>
      <c r="Y21" s="111"/>
    </row>
    <row r="22" spans="1:25">
      <c r="A22" s="3191">
        <v>4152</v>
      </c>
      <c r="B22" s="128"/>
      <c r="C22" s="3197" t="s">
        <v>451</v>
      </c>
      <c r="D22" s="3194" t="s">
        <v>3180</v>
      </c>
      <c r="E22" s="128" t="s">
        <v>3181</v>
      </c>
      <c r="F22" s="72"/>
      <c r="G22" s="73"/>
      <c r="H22" s="128"/>
      <c r="I22" s="92"/>
      <c r="J22" s="73"/>
      <c r="K22" s="74">
        <f>SUM(K23)</f>
        <v>4</v>
      </c>
      <c r="L22" s="660">
        <f>SUM(L23)</f>
        <v>1</v>
      </c>
      <c r="M22" s="661"/>
      <c r="N22" s="75">
        <f>SUM(N23)</f>
        <v>0.5</v>
      </c>
      <c r="O22" s="3200">
        <f>IF(Q22&gt;0,N22,"NA")</f>
        <v>0.5</v>
      </c>
      <c r="P22" s="216">
        <f>SUM(P23)</f>
        <v>93411614631</v>
      </c>
      <c r="Q22" s="216">
        <f>SUM(Q23)</f>
        <v>164223688410</v>
      </c>
      <c r="R22" s="216">
        <f>SUM(R23)</f>
        <v>98794161031</v>
      </c>
      <c r="S22" s="216">
        <f>SUM(S23)</f>
        <v>98794161031</v>
      </c>
      <c r="T22" s="96">
        <f>IF(Q22=0,0,R22/Q22)</f>
        <v>0.60158288970072948</v>
      </c>
      <c r="U22" s="96">
        <f>IF(R22=0,0,S22/R22)</f>
        <v>1</v>
      </c>
      <c r="V22" s="217"/>
      <c r="W22" s="221"/>
      <c r="X22" s="128"/>
      <c r="Y22" s="128"/>
    </row>
    <row r="23" spans="1:25" ht="81">
      <c r="A23" s="3192"/>
      <c r="B23" s="605"/>
      <c r="C23" s="3192"/>
      <c r="D23" s="3199"/>
      <c r="E23" s="128" t="s">
        <v>3182</v>
      </c>
      <c r="F23" s="128"/>
      <c r="G23" s="608" t="s">
        <v>3179</v>
      </c>
      <c r="H23" s="128"/>
      <c r="I23" s="92" t="s">
        <v>3183</v>
      </c>
      <c r="J23" s="92" t="s">
        <v>229</v>
      </c>
      <c r="K23" s="74">
        <v>4</v>
      </c>
      <c r="L23" s="228">
        <v>1</v>
      </c>
      <c r="M23" s="644">
        <v>2</v>
      </c>
      <c r="N23" s="96">
        <v>0.5</v>
      </c>
      <c r="O23" s="3196"/>
      <c r="P23" s="146">
        <v>93411614631</v>
      </c>
      <c r="Q23" s="216">
        <v>164223688410</v>
      </c>
      <c r="R23" s="216">
        <v>98794161031</v>
      </c>
      <c r="S23" s="216">
        <v>98794161031</v>
      </c>
      <c r="T23" s="96">
        <f>IF(Q23=0,0,R23/Q23)</f>
        <v>0.60158288970072948</v>
      </c>
      <c r="U23" s="96">
        <f>IF(R23=0,0,S23/R23)</f>
        <v>1</v>
      </c>
      <c r="V23" s="217">
        <v>45337</v>
      </c>
      <c r="W23" s="221">
        <v>45657</v>
      </c>
      <c r="X23" s="220" t="s">
        <v>5428</v>
      </c>
      <c r="Y23" s="128" t="s">
        <v>3164</v>
      </c>
    </row>
    <row r="24" spans="1:25" ht="25.5">
      <c r="A24" s="111"/>
      <c r="B24" s="112">
        <v>53040030013</v>
      </c>
      <c r="C24" s="112" t="s">
        <v>103</v>
      </c>
      <c r="D24" s="101" t="s">
        <v>3184</v>
      </c>
      <c r="E24" s="111"/>
      <c r="F24" s="111"/>
      <c r="G24" s="71"/>
      <c r="H24" s="70"/>
      <c r="I24" s="71"/>
      <c r="J24" s="71"/>
      <c r="K24" s="135"/>
      <c r="L24" s="654"/>
      <c r="M24" s="663"/>
      <c r="N24" s="701"/>
      <c r="O24" s="222"/>
      <c r="P24" s="76"/>
      <c r="Q24" s="76"/>
      <c r="R24" s="76"/>
      <c r="S24" s="76"/>
      <c r="T24" s="701"/>
      <c r="U24" s="701"/>
      <c r="V24" s="88"/>
      <c r="W24" s="88"/>
      <c r="X24" s="111"/>
      <c r="Y24" s="111"/>
    </row>
    <row r="25" spans="1:25" ht="16.5" customHeight="1">
      <c r="A25" s="3191">
        <v>4152</v>
      </c>
      <c r="B25" s="605"/>
      <c r="C25" s="3197" t="s">
        <v>451</v>
      </c>
      <c r="D25" s="3194" t="s">
        <v>3185</v>
      </c>
      <c r="E25" s="128" t="s">
        <v>3186</v>
      </c>
      <c r="F25" s="128"/>
      <c r="G25" s="92"/>
      <c r="H25" s="73"/>
      <c r="I25" s="92"/>
      <c r="J25" s="92"/>
      <c r="K25" s="74">
        <v>1</v>
      </c>
      <c r="L25" s="228">
        <f>SUM(L26)</f>
        <v>1</v>
      </c>
      <c r="M25" s="644">
        <v>0</v>
      </c>
      <c r="N25" s="96">
        <f>SUM(N26)</f>
        <v>0.75</v>
      </c>
      <c r="O25" s="3195">
        <f>IF(Q25&gt;0,N25,"NA")</f>
        <v>0.75</v>
      </c>
      <c r="P25" s="216">
        <f>SUM(P26)</f>
        <v>32696619776</v>
      </c>
      <c r="Q25" s="216">
        <f>SUM(Q26)</f>
        <v>104471422852</v>
      </c>
      <c r="R25" s="216">
        <f>SUM(R26)</f>
        <v>85738810647</v>
      </c>
      <c r="S25" s="216">
        <f>SUM(S26)</f>
        <v>85738810647</v>
      </c>
      <c r="T25" s="96">
        <f t="shared" ref="T25:U26" si="1">IF(Q25=0,0,R25/Q25)</f>
        <v>0.82069151837304199</v>
      </c>
      <c r="U25" s="96">
        <f t="shared" si="1"/>
        <v>1</v>
      </c>
      <c r="V25" s="519"/>
      <c r="W25" s="519"/>
      <c r="X25" s="73"/>
      <c r="Y25" s="3191" t="s">
        <v>3164</v>
      </c>
    </row>
    <row r="26" spans="1:25" ht="81">
      <c r="A26" s="3191"/>
      <c r="B26" s="605"/>
      <c r="C26" s="3197"/>
      <c r="D26" s="3194"/>
      <c r="E26" s="128" t="s">
        <v>3187</v>
      </c>
      <c r="F26" s="128"/>
      <c r="G26" s="589" t="s">
        <v>3188</v>
      </c>
      <c r="H26" s="73"/>
      <c r="I26" s="92" t="s">
        <v>3189</v>
      </c>
      <c r="J26" s="92" t="s">
        <v>3188</v>
      </c>
      <c r="K26" s="74">
        <v>1</v>
      </c>
      <c r="L26" s="228">
        <v>1</v>
      </c>
      <c r="M26" s="644">
        <v>1</v>
      </c>
      <c r="N26" s="96">
        <v>0.75</v>
      </c>
      <c r="O26" s="3195"/>
      <c r="P26" s="216">
        <v>32696619776</v>
      </c>
      <c r="Q26" s="216">
        <v>104471422852</v>
      </c>
      <c r="R26" s="216">
        <v>85738810647</v>
      </c>
      <c r="S26" s="216">
        <v>85738810647</v>
      </c>
      <c r="T26" s="96">
        <f t="shared" si="1"/>
        <v>0.82069151837304199</v>
      </c>
      <c r="U26" s="96">
        <f t="shared" si="1"/>
        <v>1</v>
      </c>
      <c r="V26" s="217">
        <v>45337</v>
      </c>
      <c r="W26" s="221">
        <v>45657</v>
      </c>
      <c r="X26" s="110" t="s">
        <v>5429</v>
      </c>
      <c r="Y26" s="3191"/>
    </row>
    <row r="27" spans="1:25">
      <c r="A27" s="86"/>
      <c r="B27" s="115">
        <v>5304005</v>
      </c>
      <c r="C27" s="94" t="s">
        <v>102</v>
      </c>
      <c r="D27" s="87" t="s">
        <v>3190</v>
      </c>
      <c r="E27" s="129"/>
      <c r="F27" s="94"/>
      <c r="G27" s="86"/>
      <c r="H27" s="94"/>
      <c r="I27" s="93"/>
      <c r="J27" s="86"/>
      <c r="K27" s="86"/>
      <c r="L27" s="664"/>
      <c r="M27" s="665"/>
      <c r="N27" s="699"/>
      <c r="O27" s="677"/>
      <c r="P27" s="95"/>
      <c r="Q27" s="95"/>
      <c r="R27" s="95"/>
      <c r="S27" s="95"/>
      <c r="T27" s="707"/>
      <c r="U27" s="707"/>
      <c r="V27" s="652"/>
      <c r="W27" s="652"/>
      <c r="X27" s="94"/>
      <c r="Y27" s="94"/>
    </row>
    <row r="28" spans="1:25">
      <c r="A28" s="88"/>
      <c r="B28" s="111">
        <v>53040050001</v>
      </c>
      <c r="C28" s="112" t="s">
        <v>103</v>
      </c>
      <c r="D28" s="101" t="s">
        <v>3191</v>
      </c>
      <c r="E28" s="111"/>
      <c r="F28" s="70"/>
      <c r="G28" s="88"/>
      <c r="H28" s="70"/>
      <c r="I28" s="71"/>
      <c r="J28" s="88"/>
      <c r="K28" s="88"/>
      <c r="L28" s="658"/>
      <c r="M28" s="659"/>
      <c r="N28" s="188"/>
      <c r="O28" s="225"/>
      <c r="P28" s="76"/>
      <c r="Q28" s="76"/>
      <c r="R28" s="76"/>
      <c r="S28" s="76"/>
      <c r="T28" s="701"/>
      <c r="U28" s="701"/>
      <c r="V28" s="655"/>
      <c r="W28" s="655"/>
      <c r="X28" s="70"/>
      <c r="Y28" s="70"/>
    </row>
    <row r="29" spans="1:25">
      <c r="A29" s="3193">
        <v>4152</v>
      </c>
      <c r="B29" s="128"/>
      <c r="C29" s="3197" t="s">
        <v>451</v>
      </c>
      <c r="D29" s="3198" t="s">
        <v>3192</v>
      </c>
      <c r="E29" s="589" t="s">
        <v>3193</v>
      </c>
      <c r="F29" s="72"/>
      <c r="G29" s="73"/>
      <c r="H29" s="72"/>
      <c r="I29" s="92"/>
      <c r="J29" s="73"/>
      <c r="K29" s="73">
        <f>SUM(K30)</f>
        <v>1</v>
      </c>
      <c r="L29" s="134">
        <f>SUM(L30)</f>
        <v>1</v>
      </c>
      <c r="M29" s="661"/>
      <c r="N29" s="96">
        <f>SUM(N30)</f>
        <v>0.45</v>
      </c>
      <c r="O29" s="3200">
        <f>IF(Q29&gt;0,N29,"NA")</f>
        <v>0.45</v>
      </c>
      <c r="P29" s="216">
        <f>SUM(P30)</f>
        <v>9971854000</v>
      </c>
      <c r="Q29" s="216">
        <f>SUM(Q30)</f>
        <v>10171854000</v>
      </c>
      <c r="R29" s="216">
        <f>SUM(R30)</f>
        <v>3329986108</v>
      </c>
      <c r="S29" s="216">
        <f>SUM(S30)</f>
        <v>1232520000</v>
      </c>
      <c r="T29" s="96">
        <f>IF(Q29=0,0,R29/Q29)</f>
        <v>0.32737258202880221</v>
      </c>
      <c r="U29" s="96">
        <f>IF(R29=0,0,S29/R29)</f>
        <v>0.37012767021429266</v>
      </c>
      <c r="V29" s="666"/>
      <c r="W29" s="666"/>
      <c r="X29" s="72"/>
      <c r="Y29" s="72"/>
    </row>
    <row r="30" spans="1:25" ht="162">
      <c r="A30" s="3192"/>
      <c r="B30" s="605"/>
      <c r="C30" s="3192"/>
      <c r="D30" s="3199"/>
      <c r="E30" s="589" t="s">
        <v>3194</v>
      </c>
      <c r="F30" s="72"/>
      <c r="G30" s="608" t="s">
        <v>3191</v>
      </c>
      <c r="H30" s="72"/>
      <c r="I30" s="92" t="s">
        <v>3195</v>
      </c>
      <c r="J30" s="92" t="s">
        <v>3166</v>
      </c>
      <c r="K30" s="73">
        <v>1</v>
      </c>
      <c r="L30" s="134">
        <v>1</v>
      </c>
      <c r="M30" s="661">
        <v>1</v>
      </c>
      <c r="N30" s="75">
        <v>0.45</v>
      </c>
      <c r="O30" s="3196"/>
      <c r="P30" s="74">
        <v>9971854000</v>
      </c>
      <c r="Q30" s="74">
        <v>10171854000</v>
      </c>
      <c r="R30" s="703">
        <v>3329986108</v>
      </c>
      <c r="S30" s="74">
        <v>1232520000</v>
      </c>
      <c r="T30" s="75">
        <f>IF(Q30=0,0,R30/Q30)</f>
        <v>0.32737258202880221</v>
      </c>
      <c r="U30" s="75">
        <f>IF(R30=0,0,S30/R30)</f>
        <v>0.37012767021429266</v>
      </c>
      <c r="V30" s="666">
        <v>45306</v>
      </c>
      <c r="W30" s="666">
        <v>45641</v>
      </c>
      <c r="X30" s="110" t="s">
        <v>5430</v>
      </c>
      <c r="Y30" s="128" t="s">
        <v>3164</v>
      </c>
    </row>
    <row r="31" spans="1:25">
      <c r="A31" s="88"/>
      <c r="B31" s="112">
        <v>53040050002</v>
      </c>
      <c r="C31" s="112" t="s">
        <v>103</v>
      </c>
      <c r="D31" s="101" t="s">
        <v>3196</v>
      </c>
      <c r="E31" s="70"/>
      <c r="F31" s="135"/>
      <c r="G31" s="88"/>
      <c r="H31" s="667"/>
      <c r="I31" s="88"/>
      <c r="J31" s="88"/>
      <c r="K31" s="88"/>
      <c r="L31" s="88"/>
      <c r="M31" s="653"/>
      <c r="N31" s="188"/>
      <c r="O31" s="188"/>
      <c r="P31" s="88"/>
      <c r="Q31" s="88"/>
      <c r="R31" s="88"/>
      <c r="S31" s="88"/>
      <c r="T31" s="188"/>
      <c r="U31" s="188"/>
      <c r="V31" s="88"/>
      <c r="W31" s="88"/>
      <c r="X31" s="70"/>
      <c r="Y31" s="70"/>
    </row>
    <row r="32" spans="1:25" ht="16.5" customHeight="1">
      <c r="A32" s="3193">
        <v>4152</v>
      </c>
      <c r="B32" s="72"/>
      <c r="C32" s="3197" t="s">
        <v>451</v>
      </c>
      <c r="D32" s="3194" t="s">
        <v>3197</v>
      </c>
      <c r="E32" s="72" t="s">
        <v>3198</v>
      </c>
      <c r="F32" s="90"/>
      <c r="G32" s="92"/>
      <c r="H32" s="90"/>
      <c r="I32" s="92"/>
      <c r="J32" s="73"/>
      <c r="K32" s="74">
        <f>SUM(K33)</f>
        <v>1100</v>
      </c>
      <c r="L32" s="134">
        <f>SUM(L33)</f>
        <v>1</v>
      </c>
      <c r="M32" s="661"/>
      <c r="N32" s="75">
        <f>SUM(N33)</f>
        <v>0.59</v>
      </c>
      <c r="O32" s="3200">
        <f>IF(Q32&gt;0,N32,"NA")</f>
        <v>0.59</v>
      </c>
      <c r="P32" s="74">
        <f>SUM(P33)</f>
        <v>4892967709</v>
      </c>
      <c r="Q32" s="74">
        <f>SUM(Q33)</f>
        <v>4892967709</v>
      </c>
      <c r="R32" s="74">
        <f>SUM(R33)</f>
        <v>2442563808</v>
      </c>
      <c r="S32" s="74">
        <f>SUM(S33)</f>
        <v>346112000</v>
      </c>
      <c r="T32" s="75">
        <f t="shared" ref="T32:U33" si="2">IF(Q32=0,0,R32/Q32)</f>
        <v>0.49919884071730342</v>
      </c>
      <c r="U32" s="75">
        <f t="shared" si="2"/>
        <v>0.14170029002574985</v>
      </c>
      <c r="V32" s="666"/>
      <c r="W32" s="666"/>
      <c r="X32" s="92"/>
      <c r="Y32" s="3191" t="s">
        <v>3164</v>
      </c>
    </row>
    <row r="33" spans="1:25" ht="54">
      <c r="A33" s="3192"/>
      <c r="B33" s="72"/>
      <c r="C33" s="3192"/>
      <c r="D33" s="3192"/>
      <c r="E33" s="72" t="s">
        <v>3199</v>
      </c>
      <c r="F33" s="72"/>
      <c r="G33" s="608" t="s">
        <v>3196</v>
      </c>
      <c r="H33" s="90"/>
      <c r="I33" s="690" t="s">
        <v>3200</v>
      </c>
      <c r="J33" s="92" t="s">
        <v>3201</v>
      </c>
      <c r="K33" s="74">
        <v>1100</v>
      </c>
      <c r="L33" s="134">
        <v>1</v>
      </c>
      <c r="M33" s="661">
        <v>654</v>
      </c>
      <c r="N33" s="75">
        <v>0.59</v>
      </c>
      <c r="O33" s="3196"/>
      <c r="P33" s="74">
        <v>4892967709</v>
      </c>
      <c r="Q33" s="74">
        <v>4892967709</v>
      </c>
      <c r="R33" s="74">
        <v>2442563808</v>
      </c>
      <c r="S33" s="74">
        <v>346112000</v>
      </c>
      <c r="T33" s="75">
        <f t="shared" si="2"/>
        <v>0.49919884071730342</v>
      </c>
      <c r="U33" s="75">
        <f t="shared" si="2"/>
        <v>0.14170029002574985</v>
      </c>
      <c r="V33" s="666">
        <v>44941</v>
      </c>
      <c r="W33" s="666">
        <v>45291</v>
      </c>
      <c r="X33" s="92" t="s">
        <v>5431</v>
      </c>
      <c r="Y33" s="3192"/>
    </row>
    <row r="34" spans="1:25">
      <c r="A34" s="943"/>
      <c r="B34" s="72"/>
      <c r="C34" s="943"/>
      <c r="D34" s="943"/>
      <c r="E34" s="72"/>
      <c r="F34" s="72"/>
      <c r="G34" s="608"/>
      <c r="H34" s="90"/>
      <c r="I34" s="690"/>
      <c r="J34" s="92"/>
      <c r="K34" s="74"/>
      <c r="L34" s="134"/>
      <c r="M34" s="661"/>
      <c r="N34" s="75"/>
      <c r="O34" s="944"/>
      <c r="P34" s="74"/>
      <c r="Q34" s="74"/>
      <c r="R34" s="74"/>
      <c r="S34" s="74"/>
      <c r="T34" s="75"/>
      <c r="U34" s="75"/>
      <c r="V34" s="666"/>
      <c r="W34" s="666"/>
      <c r="X34" s="92"/>
      <c r="Y34" s="943"/>
    </row>
    <row r="35" spans="1:25" ht="16.5" customHeight="1">
      <c r="A35" s="943"/>
      <c r="B35" s="72">
        <v>53040050002</v>
      </c>
      <c r="C35" s="1640" t="s">
        <v>103</v>
      </c>
      <c r="D35" s="101" t="s">
        <v>3196</v>
      </c>
      <c r="E35" s="72" t="s">
        <v>5432</v>
      </c>
      <c r="F35" s="72"/>
      <c r="G35" s="608"/>
      <c r="H35" s="90"/>
      <c r="I35" s="690"/>
      <c r="J35" s="92"/>
      <c r="K35" s="74"/>
      <c r="L35" s="134"/>
      <c r="M35" s="661"/>
      <c r="N35" s="75"/>
      <c r="O35" s="944"/>
      <c r="P35" s="74">
        <f>SUM(P36)</f>
        <v>0</v>
      </c>
      <c r="Q35" s="74">
        <f>SUM(Q36)</f>
        <v>11072437500</v>
      </c>
      <c r="R35" s="74"/>
      <c r="S35" s="74"/>
      <c r="T35" s="75"/>
      <c r="U35" s="75"/>
      <c r="V35" s="666"/>
      <c r="W35" s="666"/>
      <c r="X35" s="92"/>
      <c r="Y35" s="943"/>
    </row>
    <row r="36" spans="1:25" ht="40.5">
      <c r="A36" s="1640">
        <v>4152</v>
      </c>
      <c r="B36" s="72"/>
      <c r="C36" s="1641" t="s">
        <v>451</v>
      </c>
      <c r="D36" s="945" t="s">
        <v>5433</v>
      </c>
      <c r="E36" s="1465" t="s">
        <v>5434</v>
      </c>
      <c r="F36" s="72"/>
      <c r="G36" s="608" t="s">
        <v>3196</v>
      </c>
      <c r="H36" s="90"/>
      <c r="I36" s="690" t="s">
        <v>5435</v>
      </c>
      <c r="J36" s="92" t="s">
        <v>3201</v>
      </c>
      <c r="K36" s="74">
        <v>27</v>
      </c>
      <c r="L36" s="134">
        <v>1</v>
      </c>
      <c r="M36" s="661"/>
      <c r="N36" s="75"/>
      <c r="O36" s="75">
        <f>IF(Q36&gt;0,N36,"NA")</f>
        <v>0</v>
      </c>
      <c r="P36" s="74">
        <v>0</v>
      </c>
      <c r="Q36" s="74">
        <v>11072437500</v>
      </c>
      <c r="R36" s="74">
        <v>0</v>
      </c>
      <c r="S36" s="74">
        <v>0</v>
      </c>
      <c r="T36" s="75">
        <f>IF(Q36=0,0,R36/Q36)</f>
        <v>0</v>
      </c>
      <c r="U36" s="75">
        <f>IF(R36=0,0,S36/R36)</f>
        <v>0</v>
      </c>
      <c r="V36" s="666"/>
      <c r="W36" s="666"/>
      <c r="X36" s="92"/>
      <c r="Y36" s="943"/>
    </row>
    <row r="37" spans="1:25">
      <c r="A37" s="1640"/>
      <c r="B37" s="72"/>
      <c r="C37" s="1641"/>
      <c r="D37" s="945"/>
      <c r="E37" s="72"/>
      <c r="F37" s="72"/>
      <c r="G37" s="608"/>
      <c r="H37" s="90"/>
      <c r="I37" s="690"/>
      <c r="J37" s="92"/>
      <c r="K37" s="74"/>
      <c r="L37" s="134"/>
      <c r="M37" s="661"/>
      <c r="N37" s="75"/>
      <c r="O37" s="944"/>
      <c r="V37" s="666"/>
      <c r="W37" s="666"/>
      <c r="X37" s="92"/>
      <c r="Y37" s="943"/>
    </row>
    <row r="38" spans="1:25">
      <c r="A38" s="88"/>
      <c r="B38" s="70">
        <v>53040050003</v>
      </c>
      <c r="C38" s="112" t="s">
        <v>103</v>
      </c>
      <c r="D38" s="101" t="s">
        <v>3202</v>
      </c>
      <c r="E38" s="70"/>
      <c r="F38" s="70"/>
      <c r="G38" s="88"/>
      <c r="H38" s="70"/>
      <c r="I38" s="71"/>
      <c r="J38" s="88"/>
      <c r="K38" s="88"/>
      <c r="L38" s="658"/>
      <c r="M38" s="659"/>
      <c r="N38" s="188"/>
      <c r="O38" s="225"/>
      <c r="P38" s="135"/>
      <c r="Q38" s="135"/>
      <c r="R38" s="135"/>
      <c r="S38" s="135"/>
      <c r="T38" s="188"/>
      <c r="U38" s="188"/>
      <c r="V38" s="658"/>
      <c r="W38" s="658"/>
      <c r="X38" s="70"/>
      <c r="Y38" s="70"/>
    </row>
    <row r="39" spans="1:25">
      <c r="A39" s="2849">
        <v>4152</v>
      </c>
      <c r="B39" s="72"/>
      <c r="C39" s="2995" t="s">
        <v>451</v>
      </c>
      <c r="D39" s="2853" t="s">
        <v>3203</v>
      </c>
      <c r="E39" s="72" t="s">
        <v>3204</v>
      </c>
      <c r="F39" s="90"/>
      <c r="G39" s="73"/>
      <c r="H39" s="90"/>
      <c r="I39" s="92"/>
      <c r="J39" s="73"/>
      <c r="K39" s="74">
        <f>SUM(K40)</f>
        <v>2000</v>
      </c>
      <c r="L39" s="134">
        <f>SUM(L40:L42)</f>
        <v>1</v>
      </c>
      <c r="M39" s="661"/>
      <c r="N39" s="75">
        <f>SUM(N40:N42)</f>
        <v>0.99</v>
      </c>
      <c r="O39" s="2922">
        <f>IF(Q39&gt;0,N39,"NA")</f>
        <v>0.99</v>
      </c>
      <c r="P39" s="74">
        <f>SUM(P40:P41)</f>
        <v>19773368000</v>
      </c>
      <c r="Q39" s="74">
        <f>SUM(Q40:Q42)</f>
        <v>45741149075</v>
      </c>
      <c r="R39" s="74">
        <f>SUM(R40:R41)</f>
        <v>18525921732</v>
      </c>
      <c r="S39" s="74">
        <f>SUM(S40:S41)</f>
        <v>7914996215</v>
      </c>
      <c r="T39" s="75">
        <f t="shared" ref="T39:U42" si="3">IF(Q39=0,0,R39/Q39)</f>
        <v>0.40501653558426703</v>
      </c>
      <c r="U39" s="75">
        <f t="shared" si="3"/>
        <v>0.42723899676896249</v>
      </c>
      <c r="V39" s="666"/>
      <c r="W39" s="666"/>
      <c r="X39" s="72"/>
      <c r="Y39" s="72"/>
    </row>
    <row r="40" spans="1:25" ht="81">
      <c r="A40" s="3202"/>
      <c r="B40" s="72"/>
      <c r="C40" s="3204"/>
      <c r="D40" s="2969"/>
      <c r="E40" s="72" t="s">
        <v>3205</v>
      </c>
      <c r="F40" s="72"/>
      <c r="G40" s="92" t="s">
        <v>3202</v>
      </c>
      <c r="H40" s="72"/>
      <c r="I40" s="690" t="s">
        <v>3206</v>
      </c>
      <c r="J40" s="92" t="s">
        <v>3207</v>
      </c>
      <c r="K40" s="74">
        <v>2000</v>
      </c>
      <c r="L40" s="134">
        <v>0.95</v>
      </c>
      <c r="M40" s="661">
        <v>2059</v>
      </c>
      <c r="N40" s="75">
        <v>0.98</v>
      </c>
      <c r="O40" s="3206"/>
      <c r="P40" s="74">
        <v>19373368000</v>
      </c>
      <c r="Q40" s="74">
        <v>33922983061</v>
      </c>
      <c r="R40" s="74">
        <v>17093749154</v>
      </c>
      <c r="S40" s="74">
        <v>7735246715</v>
      </c>
      <c r="T40" s="75">
        <f t="shared" si="3"/>
        <v>0.50389876159364211</v>
      </c>
      <c r="U40" s="75">
        <f t="shared" si="3"/>
        <v>0.45251902583289777</v>
      </c>
      <c r="V40" s="666">
        <v>45306</v>
      </c>
      <c r="W40" s="666">
        <v>45657</v>
      </c>
      <c r="X40" s="92" t="s">
        <v>5436</v>
      </c>
      <c r="Y40" s="2853" t="s">
        <v>3208</v>
      </c>
    </row>
    <row r="41" spans="1:25" ht="121.5">
      <c r="A41" s="3202"/>
      <c r="B41" s="72"/>
      <c r="C41" s="3204"/>
      <c r="D41" s="2969"/>
      <c r="E41" s="72" t="s">
        <v>3209</v>
      </c>
      <c r="F41" s="72"/>
      <c r="G41" s="73"/>
      <c r="H41" s="72"/>
      <c r="I41" s="608" t="s">
        <v>3210</v>
      </c>
      <c r="J41" s="92" t="s">
        <v>3211</v>
      </c>
      <c r="K41" s="74">
        <v>1</v>
      </c>
      <c r="L41" s="134">
        <v>4.5999999999999999E-2</v>
      </c>
      <c r="M41" s="661">
        <v>0</v>
      </c>
      <c r="N41" s="75">
        <v>0.01</v>
      </c>
      <c r="O41" s="3206"/>
      <c r="P41" s="74">
        <v>400000000</v>
      </c>
      <c r="Q41" s="74">
        <v>11818166014</v>
      </c>
      <c r="R41" s="74">
        <v>1432172578</v>
      </c>
      <c r="S41" s="74">
        <v>179749500</v>
      </c>
      <c r="T41" s="75">
        <f t="shared" si="3"/>
        <v>0.12118399557963766</v>
      </c>
      <c r="U41" s="75">
        <f t="shared" si="3"/>
        <v>0.12550826818023322</v>
      </c>
      <c r="V41" s="668">
        <v>45373</v>
      </c>
      <c r="W41" s="666">
        <v>45657</v>
      </c>
      <c r="X41" s="608" t="s">
        <v>5437</v>
      </c>
      <c r="Y41" s="2969"/>
    </row>
    <row r="42" spans="1:25" ht="16.5" customHeight="1">
      <c r="A42" s="3203"/>
      <c r="B42" s="72"/>
      <c r="C42" s="3205"/>
      <c r="D42" s="2970"/>
      <c r="E42" s="72" t="s">
        <v>5438</v>
      </c>
      <c r="F42" s="72"/>
      <c r="G42" s="73"/>
      <c r="H42" s="72"/>
      <c r="I42" s="608" t="s">
        <v>5439</v>
      </c>
      <c r="J42" s="92" t="s">
        <v>106</v>
      </c>
      <c r="K42" s="74">
        <v>200</v>
      </c>
      <c r="L42" s="134">
        <v>4.0000000000000001E-3</v>
      </c>
      <c r="M42" s="661">
        <v>0</v>
      </c>
      <c r="N42" s="75">
        <v>0</v>
      </c>
      <c r="O42" s="3207"/>
      <c r="P42" s="666"/>
      <c r="Q42" s="74"/>
      <c r="R42" s="74"/>
      <c r="S42" s="74"/>
      <c r="T42" s="75">
        <f t="shared" si="3"/>
        <v>0</v>
      </c>
      <c r="U42" s="75">
        <f t="shared" si="3"/>
        <v>0</v>
      </c>
      <c r="V42" s="668"/>
      <c r="W42" s="666"/>
      <c r="X42" s="608"/>
      <c r="Y42" s="2970"/>
    </row>
    <row r="43" spans="1:25">
      <c r="A43" s="70"/>
      <c r="B43" s="70">
        <v>53040050005</v>
      </c>
      <c r="C43" s="112" t="s">
        <v>103</v>
      </c>
      <c r="D43" s="101" t="s">
        <v>3212</v>
      </c>
      <c r="E43" s="70"/>
      <c r="F43" s="70"/>
      <c r="G43" s="88"/>
      <c r="H43" s="70"/>
      <c r="I43" s="71"/>
      <c r="J43" s="71"/>
      <c r="K43" s="135"/>
      <c r="L43" s="225"/>
      <c r="M43" s="659"/>
      <c r="N43" s="188"/>
      <c r="O43" s="225"/>
      <c r="P43" s="135"/>
      <c r="Q43" s="135"/>
      <c r="R43" s="135"/>
      <c r="S43" s="135"/>
      <c r="T43" s="188"/>
      <c r="U43" s="188"/>
      <c r="V43" s="669"/>
      <c r="W43" s="669"/>
      <c r="X43" s="111"/>
      <c r="Y43" s="111"/>
    </row>
    <row r="44" spans="1:25">
      <c r="A44" s="3191">
        <v>4152</v>
      </c>
      <c r="B44" s="72"/>
      <c r="C44" s="3197" t="s">
        <v>451</v>
      </c>
      <c r="D44" s="3194" t="s">
        <v>3213</v>
      </c>
      <c r="E44" s="72" t="s">
        <v>3214</v>
      </c>
      <c r="F44" s="72"/>
      <c r="G44" s="73"/>
      <c r="H44" s="72"/>
      <c r="I44" s="92"/>
      <c r="J44" s="92"/>
      <c r="K44" s="74">
        <f>SUM(K45)</f>
        <v>11</v>
      </c>
      <c r="L44" s="134">
        <f>SUM(L45:L45)</f>
        <v>1</v>
      </c>
      <c r="M44" s="661"/>
      <c r="N44" s="75">
        <f>SUM(N45:N45)</f>
        <v>0.24</v>
      </c>
      <c r="O44" s="3195">
        <f>IF(Q44&gt;0,N44,"NA")</f>
        <v>0.24</v>
      </c>
      <c r="P44" s="74">
        <f>SUM(P45:P45)</f>
        <v>749608800</v>
      </c>
      <c r="Q44" s="74">
        <f>SUM(Q45:Q45)</f>
        <v>749608800</v>
      </c>
      <c r="R44" s="74">
        <f>SUM(R45:R45)</f>
        <v>62726000</v>
      </c>
      <c r="S44" s="74">
        <f>SUM(S45:S45)</f>
        <v>25062000</v>
      </c>
      <c r="T44" s="75">
        <f t="shared" ref="T44:U45" si="4">IF(Q44=0,0,R44/Q44)</f>
        <v>8.3678313274870839E-2</v>
      </c>
      <c r="U44" s="75">
        <f t="shared" si="4"/>
        <v>0.39954723719031981</v>
      </c>
      <c r="V44" s="666"/>
      <c r="W44" s="666"/>
      <c r="X44" s="128"/>
      <c r="Y44" s="128"/>
    </row>
    <row r="45" spans="1:25" ht="16.5" customHeight="1">
      <c r="A45" s="3192"/>
      <c r="B45" s="72"/>
      <c r="C45" s="3192"/>
      <c r="D45" s="3199"/>
      <c r="E45" s="72" t="s">
        <v>3215</v>
      </c>
      <c r="F45" s="72"/>
      <c r="G45" s="92" t="s">
        <v>3212</v>
      </c>
      <c r="H45" s="72"/>
      <c r="I45" s="690" t="s">
        <v>3216</v>
      </c>
      <c r="J45" s="92" t="s">
        <v>3217</v>
      </c>
      <c r="K45" s="74">
        <v>11</v>
      </c>
      <c r="L45" s="134">
        <v>1</v>
      </c>
      <c r="M45" s="661">
        <v>0</v>
      </c>
      <c r="N45" s="75">
        <v>0.24</v>
      </c>
      <c r="O45" s="3195"/>
      <c r="P45" s="74">
        <v>749608800</v>
      </c>
      <c r="Q45" s="74">
        <v>749608800</v>
      </c>
      <c r="R45" s="74">
        <v>62726000</v>
      </c>
      <c r="S45" s="74">
        <v>25062000</v>
      </c>
      <c r="T45" s="75">
        <f t="shared" si="4"/>
        <v>8.3678313274870839E-2</v>
      </c>
      <c r="U45" s="75">
        <f t="shared" si="4"/>
        <v>0.39954723719031981</v>
      </c>
      <c r="V45" s="666">
        <v>45324</v>
      </c>
      <c r="W45" s="666">
        <v>45657</v>
      </c>
      <c r="X45" s="220" t="s">
        <v>5440</v>
      </c>
      <c r="Y45" s="128" t="s">
        <v>3164</v>
      </c>
    </row>
    <row r="46" spans="1:25" ht="25.5">
      <c r="A46" s="88"/>
      <c r="B46" s="111">
        <v>53040050006</v>
      </c>
      <c r="C46" s="112" t="s">
        <v>103</v>
      </c>
      <c r="D46" s="101" t="s">
        <v>3218</v>
      </c>
      <c r="E46" s="70"/>
      <c r="F46" s="70"/>
      <c r="G46" s="88"/>
      <c r="H46" s="70"/>
      <c r="I46" s="71"/>
      <c r="J46" s="88"/>
      <c r="K46" s="88"/>
      <c r="L46" s="658"/>
      <c r="M46" s="659"/>
      <c r="N46" s="188"/>
      <c r="O46" s="225"/>
      <c r="P46" s="135"/>
      <c r="Q46" s="135"/>
      <c r="R46" s="135"/>
      <c r="S46" s="135"/>
      <c r="T46" s="188"/>
      <c r="U46" s="188"/>
      <c r="V46" s="658"/>
      <c r="W46" s="658"/>
      <c r="X46" s="70"/>
      <c r="Y46" s="70"/>
    </row>
    <row r="47" spans="1:25">
      <c r="A47" s="3193">
        <v>4152</v>
      </c>
      <c r="B47" s="128"/>
      <c r="C47" s="3197" t="s">
        <v>451</v>
      </c>
      <c r="D47" s="3198" t="s">
        <v>3219</v>
      </c>
      <c r="E47" s="588" t="s">
        <v>3220</v>
      </c>
      <c r="F47" s="588"/>
      <c r="G47" s="670"/>
      <c r="H47" s="588"/>
      <c r="I47" s="608"/>
      <c r="J47" s="608"/>
      <c r="K47" s="670">
        <f>SUM(K48)</f>
        <v>1</v>
      </c>
      <c r="L47" s="671">
        <f>SUM(L48)</f>
        <v>1</v>
      </c>
      <c r="M47" s="610"/>
      <c r="N47" s="260">
        <f>SUM(N48:N49)</f>
        <v>0.25</v>
      </c>
      <c r="O47" s="3201">
        <f>IF(Q47&gt;0,N47,"NA")</f>
        <v>0.25</v>
      </c>
      <c r="P47" s="704">
        <f>SUM(P48)</f>
        <v>1736068800</v>
      </c>
      <c r="Q47" s="704">
        <f>SUM(Q48)</f>
        <v>1736068800</v>
      </c>
      <c r="R47" s="704">
        <f>SUM(R48)</f>
        <v>313772597</v>
      </c>
      <c r="S47" s="704">
        <f>SUM(S48)</f>
        <v>159505240</v>
      </c>
      <c r="T47" s="260">
        <f>IF(Q47=0,0,R47/Q47)</f>
        <v>0.1807374206598264</v>
      </c>
      <c r="U47" s="260">
        <f>IF(R47=0,0,S47/R47)</f>
        <v>0.50834662276132414</v>
      </c>
      <c r="V47" s="668"/>
      <c r="W47" s="668"/>
      <c r="X47" s="588"/>
      <c r="Y47" s="72"/>
    </row>
    <row r="48" spans="1:25" ht="108">
      <c r="A48" s="3192"/>
      <c r="B48" s="72"/>
      <c r="C48" s="3192"/>
      <c r="D48" s="3199"/>
      <c r="E48" s="588" t="s">
        <v>3221</v>
      </c>
      <c r="F48" s="588"/>
      <c r="G48" s="608" t="s">
        <v>3222</v>
      </c>
      <c r="H48" s="588"/>
      <c r="I48" s="608" t="s">
        <v>3223</v>
      </c>
      <c r="J48" s="608" t="s">
        <v>3224</v>
      </c>
      <c r="K48" s="670">
        <v>1</v>
      </c>
      <c r="L48" s="671">
        <v>1</v>
      </c>
      <c r="M48" s="610">
        <v>1</v>
      </c>
      <c r="N48" s="260">
        <v>0.25</v>
      </c>
      <c r="O48" s="3196"/>
      <c r="P48" s="704">
        <v>1736068800</v>
      </c>
      <c r="Q48" s="704">
        <v>1736068800</v>
      </c>
      <c r="R48" s="704">
        <v>313772597</v>
      </c>
      <c r="S48" s="704">
        <v>159505240</v>
      </c>
      <c r="T48" s="260">
        <f>IF(Q48=0,0,R48/Q48)</f>
        <v>0.1807374206598264</v>
      </c>
      <c r="U48" s="260">
        <f>IF(R48=0,0,S48/R48)</f>
        <v>0.50834662276132414</v>
      </c>
      <c r="V48" s="668">
        <v>45323</v>
      </c>
      <c r="W48" s="668">
        <v>45657</v>
      </c>
      <c r="X48" s="220" t="s">
        <v>3225</v>
      </c>
      <c r="Y48" s="128" t="s">
        <v>3226</v>
      </c>
    </row>
    <row r="49" spans="1:25" ht="16.5" customHeight="1">
      <c r="A49" s="88"/>
      <c r="B49" s="70">
        <v>53040050007</v>
      </c>
      <c r="C49" s="70" t="s">
        <v>103</v>
      </c>
      <c r="D49" s="101" t="s">
        <v>3227</v>
      </c>
      <c r="E49" s="70"/>
      <c r="F49" s="70"/>
      <c r="G49" s="88"/>
      <c r="H49" s="70"/>
      <c r="I49" s="71"/>
      <c r="J49" s="88"/>
      <c r="K49" s="88"/>
      <c r="L49" s="658"/>
      <c r="M49" s="659"/>
      <c r="N49" s="188"/>
      <c r="O49" s="225"/>
      <c r="P49" s="135"/>
      <c r="Q49" s="135"/>
      <c r="R49" s="135"/>
      <c r="S49" s="135"/>
      <c r="T49" s="188"/>
      <c r="U49" s="188"/>
      <c r="V49" s="658"/>
      <c r="W49" s="658"/>
      <c r="X49" s="70"/>
      <c r="Y49" s="70"/>
    </row>
    <row r="50" spans="1:25">
      <c r="A50" s="3193">
        <v>4152</v>
      </c>
      <c r="B50" s="72"/>
      <c r="C50" s="3197" t="s">
        <v>451</v>
      </c>
      <c r="D50" s="3191" t="s">
        <v>3228</v>
      </c>
      <c r="E50" s="72" t="s">
        <v>3229</v>
      </c>
      <c r="F50" s="72"/>
      <c r="G50" s="92"/>
      <c r="H50" s="72"/>
      <c r="I50" s="92"/>
      <c r="J50" s="92"/>
      <c r="K50" s="74">
        <f>SUM(K51)</f>
        <v>200</v>
      </c>
      <c r="L50" s="134">
        <f>SUM(L51:L52)</f>
        <v>1</v>
      </c>
      <c r="M50" s="661"/>
      <c r="N50" s="75">
        <f>SUM(N51:N52)</f>
        <v>0.15</v>
      </c>
      <c r="O50" s="3200">
        <f>IF(Q50&gt;0,N50,"NA")</f>
        <v>0.15</v>
      </c>
      <c r="P50" s="74">
        <f>SUM(P51:P52)</f>
        <v>312569719</v>
      </c>
      <c r="Q50" s="74">
        <f>SUM(Q51:Q52)</f>
        <v>809447205</v>
      </c>
      <c r="R50" s="74">
        <f>SUM(R51:R52)</f>
        <v>68128000</v>
      </c>
      <c r="S50" s="74">
        <f>SUM(S51:S52)</f>
        <v>35176000</v>
      </c>
      <c r="T50" s="75">
        <f t="shared" ref="T50:U52" si="5">IF(Q50=0,0,R50/Q50)</f>
        <v>8.4166082209154086E-2</v>
      </c>
      <c r="U50" s="75">
        <f t="shared" si="5"/>
        <v>0.51632221700328795</v>
      </c>
      <c r="V50" s="666"/>
      <c r="W50" s="666"/>
      <c r="X50" s="72"/>
      <c r="Y50" s="72"/>
    </row>
    <row r="51" spans="1:25" ht="67.5">
      <c r="A51" s="3192"/>
      <c r="B51" s="588"/>
      <c r="C51" s="3192"/>
      <c r="D51" s="3191"/>
      <c r="E51" s="588" t="s">
        <v>3230</v>
      </c>
      <c r="F51" s="588"/>
      <c r="G51" s="608" t="s">
        <v>3227</v>
      </c>
      <c r="H51" s="588"/>
      <c r="I51" s="690" t="s">
        <v>3231</v>
      </c>
      <c r="J51" s="608" t="s">
        <v>106</v>
      </c>
      <c r="K51" s="670">
        <v>200</v>
      </c>
      <c r="L51" s="671">
        <v>0.5</v>
      </c>
      <c r="M51" s="610">
        <v>58</v>
      </c>
      <c r="N51" s="260">
        <v>0.15</v>
      </c>
      <c r="O51" s="3196"/>
      <c r="P51" s="704">
        <v>132950400</v>
      </c>
      <c r="Q51" s="704">
        <v>132950400</v>
      </c>
      <c r="R51" s="704">
        <v>68128000</v>
      </c>
      <c r="S51" s="704">
        <v>35176000</v>
      </c>
      <c r="T51" s="260">
        <f t="shared" si="5"/>
        <v>0.51243170385346715</v>
      </c>
      <c r="U51" s="260">
        <f t="shared" si="5"/>
        <v>0.51632221700328795</v>
      </c>
      <c r="V51" s="668">
        <v>45337</v>
      </c>
      <c r="W51" s="668">
        <v>45657</v>
      </c>
      <c r="X51" s="220" t="s">
        <v>5441</v>
      </c>
      <c r="Y51" s="3208" t="s">
        <v>3232</v>
      </c>
    </row>
    <row r="52" spans="1:25" ht="16.5" customHeight="1">
      <c r="A52" s="3192"/>
      <c r="B52" s="588"/>
      <c r="C52" s="3192"/>
      <c r="D52" s="3191"/>
      <c r="E52" s="588" t="s">
        <v>3233</v>
      </c>
      <c r="F52" s="588"/>
      <c r="G52" s="608"/>
      <c r="H52" s="588"/>
      <c r="I52" s="608" t="s">
        <v>3234</v>
      </c>
      <c r="J52" s="608" t="s">
        <v>3235</v>
      </c>
      <c r="K52" s="670">
        <v>2</v>
      </c>
      <c r="L52" s="671">
        <v>0.5</v>
      </c>
      <c r="M52" s="610"/>
      <c r="N52" s="260">
        <v>0</v>
      </c>
      <c r="O52" s="3196"/>
      <c r="P52" s="705">
        <v>179619319</v>
      </c>
      <c r="Q52" s="704">
        <v>676496805</v>
      </c>
      <c r="R52" s="704">
        <v>0</v>
      </c>
      <c r="S52" s="704">
        <v>0</v>
      </c>
      <c r="T52" s="260">
        <f t="shared" si="5"/>
        <v>0</v>
      </c>
      <c r="U52" s="260">
        <f t="shared" si="5"/>
        <v>0</v>
      </c>
      <c r="V52" s="672"/>
      <c r="W52" s="672"/>
      <c r="X52" s="220"/>
      <c r="Y52" s="3208"/>
    </row>
    <row r="53" spans="1:25">
      <c r="A53" s="88"/>
      <c r="B53" s="70">
        <v>53040050009</v>
      </c>
      <c r="C53" s="70" t="s">
        <v>103</v>
      </c>
      <c r="D53" s="101" t="s">
        <v>3236</v>
      </c>
      <c r="E53" s="70"/>
      <c r="F53" s="667"/>
      <c r="G53" s="88"/>
      <c r="H53" s="70"/>
      <c r="I53" s="71"/>
      <c r="J53" s="71"/>
      <c r="K53" s="88"/>
      <c r="L53" s="225"/>
      <c r="M53" s="659"/>
      <c r="N53" s="188"/>
      <c r="O53" s="225"/>
      <c r="P53" s="135"/>
      <c r="Q53" s="135"/>
      <c r="R53" s="135"/>
      <c r="S53" s="135"/>
      <c r="T53" s="188"/>
      <c r="U53" s="188"/>
      <c r="V53" s="673"/>
      <c r="W53" s="658"/>
      <c r="X53" s="70"/>
      <c r="Y53" s="70"/>
    </row>
    <row r="54" spans="1:25">
      <c r="A54" s="3193">
        <v>4152</v>
      </c>
      <c r="B54" s="72"/>
      <c r="C54" s="3197" t="s">
        <v>451</v>
      </c>
      <c r="D54" s="3194" t="s">
        <v>3237</v>
      </c>
      <c r="E54" s="588" t="s">
        <v>3238</v>
      </c>
      <c r="F54" s="90"/>
      <c r="G54" s="73"/>
      <c r="H54" s="72"/>
      <c r="I54" s="92"/>
      <c r="J54" s="92"/>
      <c r="K54" s="74">
        <f>+K55</f>
        <v>170000</v>
      </c>
      <c r="L54" s="134">
        <f>SUM(L55)</f>
        <v>1</v>
      </c>
      <c r="M54" s="661"/>
      <c r="N54" s="75">
        <f>SUM(N55)</f>
        <v>0.18</v>
      </c>
      <c r="O54" s="3200">
        <f>IF(Q54&gt;0,N54,"NA")</f>
        <v>0.18</v>
      </c>
      <c r="P54" s="74">
        <f>SUM(P55)</f>
        <v>1005352000</v>
      </c>
      <c r="Q54" s="74">
        <f>SUM(Q55)</f>
        <v>1005352000</v>
      </c>
      <c r="R54" s="74">
        <f>SUM(R55)</f>
        <v>284552000</v>
      </c>
      <c r="S54" s="74">
        <f>SUM(S55)</f>
        <v>146641500</v>
      </c>
      <c r="T54" s="75">
        <f>IF(Q54=0,0,R54/Q54)</f>
        <v>0.28303718498595515</v>
      </c>
      <c r="U54" s="75">
        <f>IF(R54=0,0,S54/R54)</f>
        <v>0.5153416598723608</v>
      </c>
      <c r="V54" s="666"/>
      <c r="W54" s="666"/>
      <c r="X54" s="73"/>
      <c r="Y54" s="3191" t="s">
        <v>3232</v>
      </c>
    </row>
    <row r="55" spans="1:25" ht="81">
      <c r="A55" s="3192"/>
      <c r="B55" s="72"/>
      <c r="C55" s="3192"/>
      <c r="D55" s="3192"/>
      <c r="E55" s="72" t="s">
        <v>3239</v>
      </c>
      <c r="F55" s="72"/>
      <c r="G55" s="92" t="s">
        <v>3240</v>
      </c>
      <c r="H55" s="72"/>
      <c r="I55" s="690" t="s">
        <v>3241</v>
      </c>
      <c r="J55" s="92" t="s">
        <v>106</v>
      </c>
      <c r="K55" s="74">
        <v>170000</v>
      </c>
      <c r="L55" s="134">
        <v>1</v>
      </c>
      <c r="M55" s="74">
        <v>30531</v>
      </c>
      <c r="N55" s="75">
        <v>0.18</v>
      </c>
      <c r="O55" s="3200"/>
      <c r="P55" s="705">
        <v>1005352000</v>
      </c>
      <c r="Q55" s="74">
        <v>1005352000</v>
      </c>
      <c r="R55" s="74">
        <v>284552000</v>
      </c>
      <c r="S55" s="74">
        <v>146641500</v>
      </c>
      <c r="T55" s="75">
        <f>IF(Q55=0,0,R55/Q55)</f>
        <v>0.28303718498595515</v>
      </c>
      <c r="U55" s="75">
        <f>IF(R55=0,0,S55/R55)</f>
        <v>0.5153416598723608</v>
      </c>
      <c r="V55" s="666">
        <v>45306</v>
      </c>
      <c r="W55" s="666">
        <v>45657</v>
      </c>
      <c r="X55" s="92" t="s">
        <v>5442</v>
      </c>
      <c r="Y55" s="3209"/>
    </row>
    <row r="56" spans="1:25" ht="16.5" customHeight="1">
      <c r="A56" s="70"/>
      <c r="B56" s="70">
        <v>53040050010</v>
      </c>
      <c r="C56" s="70" t="s">
        <v>103</v>
      </c>
      <c r="D56" s="101" t="s">
        <v>3242</v>
      </c>
      <c r="E56" s="70"/>
      <c r="F56" s="70"/>
      <c r="G56" s="88"/>
      <c r="H56" s="70"/>
      <c r="I56" s="71"/>
      <c r="J56" s="71"/>
      <c r="K56" s="135"/>
      <c r="L56" s="225"/>
      <c r="M56" s="659"/>
      <c r="N56" s="188"/>
      <c r="O56" s="225"/>
      <c r="P56" s="135"/>
      <c r="Q56" s="135"/>
      <c r="R56" s="135"/>
      <c r="S56" s="135"/>
      <c r="T56" s="188"/>
      <c r="U56" s="188"/>
      <c r="V56" s="669"/>
      <c r="W56" s="669"/>
      <c r="X56" s="70"/>
      <c r="Y56" s="70"/>
    </row>
    <row r="57" spans="1:25">
      <c r="A57" s="3191">
        <v>4152</v>
      </c>
      <c r="B57" s="72"/>
      <c r="C57" s="3197" t="s">
        <v>451</v>
      </c>
      <c r="D57" s="3194" t="s">
        <v>3243</v>
      </c>
      <c r="E57" s="72" t="s">
        <v>3244</v>
      </c>
      <c r="F57" s="72"/>
      <c r="G57" s="73"/>
      <c r="H57" s="72"/>
      <c r="I57" s="92"/>
      <c r="J57" s="92"/>
      <c r="K57" s="74">
        <f>SUM(K58)</f>
        <v>6</v>
      </c>
      <c r="L57" s="134">
        <f>SUM(L58:L59)</f>
        <v>1</v>
      </c>
      <c r="M57" s="661"/>
      <c r="N57" s="75">
        <f>SUM(N58:N59)</f>
        <v>0.53</v>
      </c>
      <c r="O57" s="3200">
        <f>IF(Q57&gt;0,N57,"NA")</f>
        <v>0.53</v>
      </c>
      <c r="P57" s="74">
        <f>SUM(P58:P59)</f>
        <v>2445028000</v>
      </c>
      <c r="Q57" s="74">
        <f>SUM(Q58:Q59)</f>
        <v>3229828073</v>
      </c>
      <c r="R57" s="74">
        <f>SUM(R58:R59)</f>
        <v>288643000</v>
      </c>
      <c r="S57" s="74">
        <f>SUM(S58:S59)</f>
        <v>162056000</v>
      </c>
      <c r="T57" s="75">
        <f t="shared" ref="T57:U59" si="6">IF(Q57=0,0,R57/Q57)</f>
        <v>8.9367914785599176E-2</v>
      </c>
      <c r="U57" s="75">
        <f t="shared" si="6"/>
        <v>0.56144094954667179</v>
      </c>
      <c r="V57" s="666"/>
      <c r="W57" s="666"/>
      <c r="X57" s="73"/>
      <c r="Y57" s="3191" t="s">
        <v>3232</v>
      </c>
    </row>
    <row r="58" spans="1:25" ht="81">
      <c r="A58" s="3192"/>
      <c r="B58" s="72"/>
      <c r="C58" s="3192"/>
      <c r="D58" s="3199"/>
      <c r="E58" s="588" t="s">
        <v>3245</v>
      </c>
      <c r="F58" s="72"/>
      <c r="G58" s="92" t="s">
        <v>3246</v>
      </c>
      <c r="H58" s="72"/>
      <c r="I58" s="690" t="s">
        <v>3247</v>
      </c>
      <c r="J58" s="92" t="s">
        <v>3248</v>
      </c>
      <c r="K58" s="74">
        <v>6</v>
      </c>
      <c r="L58" s="134">
        <v>0.8</v>
      </c>
      <c r="M58" s="661">
        <v>4</v>
      </c>
      <c r="N58" s="75">
        <v>0.53</v>
      </c>
      <c r="O58" s="3196"/>
      <c r="P58" s="74">
        <v>2045028000</v>
      </c>
      <c r="Q58" s="74">
        <v>2045028000</v>
      </c>
      <c r="R58" s="74">
        <v>288643000</v>
      </c>
      <c r="S58" s="74">
        <v>162056000</v>
      </c>
      <c r="T58" s="75">
        <f t="shared" si="6"/>
        <v>0.14114378874030087</v>
      </c>
      <c r="U58" s="75">
        <f t="shared" si="6"/>
        <v>0.56144094954667179</v>
      </c>
      <c r="V58" s="666">
        <v>44972</v>
      </c>
      <c r="W58" s="666">
        <v>45291</v>
      </c>
      <c r="X58" s="608" t="s">
        <v>5443</v>
      </c>
      <c r="Y58" s="3209"/>
    </row>
    <row r="59" spans="1:25" ht="40.5">
      <c r="A59" s="3192"/>
      <c r="B59" s="72"/>
      <c r="C59" s="3192"/>
      <c r="D59" s="3199"/>
      <c r="E59" s="588" t="s">
        <v>3249</v>
      </c>
      <c r="F59" s="72"/>
      <c r="G59" s="92"/>
      <c r="H59" s="72"/>
      <c r="I59" s="92" t="s">
        <v>3250</v>
      </c>
      <c r="J59" s="92" t="s">
        <v>107</v>
      </c>
      <c r="K59" s="74">
        <v>1</v>
      </c>
      <c r="L59" s="134">
        <v>0.2</v>
      </c>
      <c r="M59" s="661"/>
      <c r="N59" s="75">
        <v>0</v>
      </c>
      <c r="O59" s="3196"/>
      <c r="P59" s="74">
        <v>400000000</v>
      </c>
      <c r="Q59" s="705">
        <v>1184800073</v>
      </c>
      <c r="R59" s="74">
        <v>0</v>
      </c>
      <c r="S59" s="74">
        <v>0</v>
      </c>
      <c r="T59" s="75">
        <f t="shared" si="6"/>
        <v>0</v>
      </c>
      <c r="U59" s="75">
        <f t="shared" si="6"/>
        <v>0</v>
      </c>
      <c r="V59" s="666"/>
      <c r="W59" s="666"/>
      <c r="X59" s="92"/>
      <c r="Y59" s="3209"/>
    </row>
    <row r="60" spans="1:25" ht="25.5">
      <c r="A60" s="70"/>
      <c r="B60" s="70">
        <v>53040050011</v>
      </c>
      <c r="C60" s="70" t="s">
        <v>103</v>
      </c>
      <c r="D60" s="101" t="s">
        <v>3251</v>
      </c>
      <c r="E60" s="70"/>
      <c r="F60" s="70"/>
      <c r="G60" s="88"/>
      <c r="H60" s="70"/>
      <c r="I60" s="88"/>
      <c r="J60" s="88"/>
      <c r="K60" s="88"/>
      <c r="L60" s="88"/>
      <c r="M60" s="653"/>
      <c r="N60" s="188"/>
      <c r="O60" s="188"/>
      <c r="P60" s="135"/>
      <c r="Q60" s="135"/>
      <c r="R60" s="135"/>
      <c r="S60" s="135"/>
      <c r="T60" s="188"/>
      <c r="U60" s="188"/>
      <c r="V60" s="88"/>
      <c r="W60" s="88"/>
      <c r="X60" s="70"/>
      <c r="Y60" s="70"/>
    </row>
    <row r="61" spans="1:25">
      <c r="A61" s="3191">
        <v>4152</v>
      </c>
      <c r="B61" s="72"/>
      <c r="C61" s="3197" t="s">
        <v>451</v>
      </c>
      <c r="D61" s="3194" t="s">
        <v>3252</v>
      </c>
      <c r="E61" s="72" t="s">
        <v>3253</v>
      </c>
      <c r="F61" s="72"/>
      <c r="G61" s="73"/>
      <c r="H61" s="72"/>
      <c r="I61" s="92"/>
      <c r="J61" s="92"/>
      <c r="K61" s="74">
        <f>SUM(K62)</f>
        <v>50</v>
      </c>
      <c r="L61" s="134">
        <f>SUM(L62)</f>
        <v>1</v>
      </c>
      <c r="M61" s="661"/>
      <c r="N61" s="75">
        <f>SUM(N62)</f>
        <v>0.68</v>
      </c>
      <c r="O61" s="3200">
        <f>IF(Q61&gt;0,N61,"NA")</f>
        <v>0.68</v>
      </c>
      <c r="P61" s="74">
        <f>SUM(P62)</f>
        <v>329511600</v>
      </c>
      <c r="Q61" s="74">
        <f>SUM(Q62)</f>
        <v>329511600</v>
      </c>
      <c r="R61" s="74">
        <f>SUM(R62)</f>
        <v>251771000</v>
      </c>
      <c r="S61" s="74">
        <f>SUM(S62)</f>
        <v>125831000</v>
      </c>
      <c r="T61" s="75">
        <f>IF(Q61=0,0,R61/Q61)</f>
        <v>0.76407325265635562</v>
      </c>
      <c r="U61" s="75">
        <f>IF(R61=0,0,S61/R61)</f>
        <v>0.49978353344904697</v>
      </c>
      <c r="V61" s="666"/>
      <c r="W61" s="666"/>
      <c r="X61" s="72"/>
      <c r="Y61" s="72"/>
    </row>
    <row r="62" spans="1:25" ht="16.5" customHeight="1">
      <c r="A62" s="3192"/>
      <c r="B62" s="72"/>
      <c r="C62" s="3192"/>
      <c r="D62" s="3199"/>
      <c r="E62" s="72" t="s">
        <v>3254</v>
      </c>
      <c r="F62" s="72"/>
      <c r="G62" s="92" t="s">
        <v>3255</v>
      </c>
      <c r="H62" s="72"/>
      <c r="I62" s="690" t="s">
        <v>3256</v>
      </c>
      <c r="J62" s="92" t="s">
        <v>3248</v>
      </c>
      <c r="K62" s="74">
        <v>50</v>
      </c>
      <c r="L62" s="134">
        <v>1</v>
      </c>
      <c r="M62" s="661">
        <v>34</v>
      </c>
      <c r="N62" s="75">
        <v>0.68</v>
      </c>
      <c r="O62" s="3200"/>
      <c r="P62" s="74">
        <v>329511600</v>
      </c>
      <c r="Q62" s="74">
        <v>329511600</v>
      </c>
      <c r="R62" s="74">
        <v>251771000</v>
      </c>
      <c r="S62" s="74">
        <v>125831000</v>
      </c>
      <c r="T62" s="75">
        <f>IF(Q62=0,0,R62/Q62)</f>
        <v>0.76407325265635562</v>
      </c>
      <c r="U62" s="75">
        <f>IF(R62=0,0,S62/R62)</f>
        <v>0.49978353344904697</v>
      </c>
      <c r="V62" s="666">
        <v>45306</v>
      </c>
      <c r="W62" s="666">
        <v>45641</v>
      </c>
      <c r="X62" s="110" t="s">
        <v>5444</v>
      </c>
      <c r="Y62" s="128" t="s">
        <v>3257</v>
      </c>
    </row>
    <row r="63" spans="1:25">
      <c r="A63" s="81"/>
      <c r="B63" s="82">
        <v>54</v>
      </c>
      <c r="C63" s="82" t="s">
        <v>100</v>
      </c>
      <c r="D63" s="627" t="s">
        <v>108</v>
      </c>
      <c r="E63" s="82"/>
      <c r="F63" s="82"/>
      <c r="G63" s="81"/>
      <c r="H63" s="82"/>
      <c r="I63" s="81"/>
      <c r="J63" s="81"/>
      <c r="K63" s="81"/>
      <c r="L63" s="81"/>
      <c r="M63" s="649"/>
      <c r="N63" s="698"/>
      <c r="O63" s="698"/>
      <c r="P63" s="645"/>
      <c r="Q63" s="645"/>
      <c r="R63" s="645"/>
      <c r="S63" s="645"/>
      <c r="T63" s="698"/>
      <c r="U63" s="698"/>
      <c r="V63" s="674"/>
      <c r="W63" s="674"/>
      <c r="X63" s="82"/>
      <c r="Y63" s="82"/>
    </row>
    <row r="64" spans="1:25">
      <c r="A64" s="81"/>
      <c r="B64" s="82">
        <v>5402</v>
      </c>
      <c r="C64" s="82" t="s">
        <v>101</v>
      </c>
      <c r="D64" s="83" t="s">
        <v>104</v>
      </c>
      <c r="E64" s="82"/>
      <c r="F64" s="82"/>
      <c r="G64" s="81"/>
      <c r="H64" s="82"/>
      <c r="I64" s="85"/>
      <c r="J64" s="85"/>
      <c r="K64" s="645"/>
      <c r="L64" s="675"/>
      <c r="M64" s="676"/>
      <c r="N64" s="698"/>
      <c r="O64" s="675"/>
      <c r="P64" s="645"/>
      <c r="Q64" s="645"/>
      <c r="R64" s="645"/>
      <c r="S64" s="645"/>
      <c r="T64" s="698"/>
      <c r="U64" s="698"/>
      <c r="V64" s="674"/>
      <c r="W64" s="674"/>
      <c r="X64" s="82"/>
      <c r="Y64" s="82"/>
    </row>
    <row r="65" spans="1:25">
      <c r="A65" s="86"/>
      <c r="B65" s="94">
        <v>5402001</v>
      </c>
      <c r="C65" s="94" t="s">
        <v>102</v>
      </c>
      <c r="D65" s="87" t="s">
        <v>105</v>
      </c>
      <c r="E65" s="94"/>
      <c r="F65" s="94"/>
      <c r="G65" s="86"/>
      <c r="H65" s="94"/>
      <c r="I65" s="93"/>
      <c r="J65" s="93"/>
      <c r="K65" s="273"/>
      <c r="L65" s="677"/>
      <c r="M65" s="665"/>
      <c r="N65" s="699"/>
      <c r="O65" s="677"/>
      <c r="P65" s="273"/>
      <c r="Q65" s="273"/>
      <c r="R65" s="273"/>
      <c r="S65" s="273"/>
      <c r="T65" s="699"/>
      <c r="U65" s="699"/>
      <c r="V65" s="664"/>
      <c r="W65" s="664"/>
      <c r="X65" s="94"/>
      <c r="Y65" s="94"/>
    </row>
    <row r="66" spans="1:25" ht="16.5" customHeight="1">
      <c r="A66" s="88"/>
      <c r="B66" s="70">
        <v>54020010043</v>
      </c>
      <c r="C66" s="112" t="s">
        <v>103</v>
      </c>
      <c r="D66" s="101" t="s">
        <v>3258</v>
      </c>
      <c r="E66" s="70"/>
      <c r="F66" s="70"/>
      <c r="G66" s="88"/>
      <c r="H66" s="70"/>
      <c r="I66" s="71"/>
      <c r="J66" s="71"/>
      <c r="K66" s="135"/>
      <c r="L66" s="225"/>
      <c r="M66" s="659"/>
      <c r="N66" s="188"/>
      <c r="O66" s="225"/>
      <c r="P66" s="135"/>
      <c r="Q66" s="135"/>
      <c r="R66" s="135"/>
      <c r="S66" s="135"/>
      <c r="T66" s="188"/>
      <c r="U66" s="188"/>
      <c r="V66" s="658"/>
      <c r="W66" s="658"/>
      <c r="X66" s="70"/>
      <c r="Y66" s="70"/>
    </row>
    <row r="67" spans="1:25">
      <c r="A67" s="3193">
        <v>4152</v>
      </c>
      <c r="B67" s="72"/>
      <c r="C67" s="3197" t="s">
        <v>451</v>
      </c>
      <c r="D67" s="3208" t="s">
        <v>3259</v>
      </c>
      <c r="E67" s="588" t="s">
        <v>3260</v>
      </c>
      <c r="F67" s="678"/>
      <c r="G67" s="92"/>
      <c r="H67" s="72"/>
      <c r="I67" s="92"/>
      <c r="J67" s="73"/>
      <c r="K67" s="74">
        <f>SUM(K68)</f>
        <v>1</v>
      </c>
      <c r="L67" s="134">
        <f>SUM(L68:L68)</f>
        <v>1</v>
      </c>
      <c r="M67" s="661"/>
      <c r="N67" s="75">
        <f>SUM(N68:N68)</f>
        <v>0.2</v>
      </c>
      <c r="O67" s="3200">
        <f>IF(Q67&gt;0,N67,"NA")</f>
        <v>0.2</v>
      </c>
      <c r="P67" s="74">
        <f>SUM(P68:P68)</f>
        <v>4904974800</v>
      </c>
      <c r="Q67" s="74">
        <f>SUM(Q68:Q68)</f>
        <v>4904974800</v>
      </c>
      <c r="R67" s="74">
        <f>SUM(R68:R68)</f>
        <v>3649388000</v>
      </c>
      <c r="S67" s="74">
        <f>SUM(S68:S68)</f>
        <v>1934280000</v>
      </c>
      <c r="T67" s="75">
        <f t="shared" ref="T67:U68" si="7">IF(Q67=0,0,R67/Q67)</f>
        <v>0.74401768588087347</v>
      </c>
      <c r="U67" s="75">
        <f t="shared" si="7"/>
        <v>0.53002859657564505</v>
      </c>
      <c r="V67" s="666"/>
      <c r="W67" s="666"/>
      <c r="X67" s="92"/>
      <c r="Y67" s="3191" t="s">
        <v>3226</v>
      </c>
    </row>
    <row r="68" spans="1:25" ht="108">
      <c r="A68" s="3192"/>
      <c r="B68" s="72"/>
      <c r="C68" s="3192"/>
      <c r="D68" s="3208"/>
      <c r="E68" s="588" t="s">
        <v>3261</v>
      </c>
      <c r="F68" s="72"/>
      <c r="G68" s="92" t="s">
        <v>3258</v>
      </c>
      <c r="H68" s="72"/>
      <c r="I68" s="92" t="s">
        <v>3262</v>
      </c>
      <c r="J68" s="92" t="s">
        <v>110</v>
      </c>
      <c r="K68" s="74">
        <v>1</v>
      </c>
      <c r="L68" s="134">
        <v>1</v>
      </c>
      <c r="M68" s="661">
        <v>1</v>
      </c>
      <c r="N68" s="75">
        <v>0.2</v>
      </c>
      <c r="O68" s="3212"/>
      <c r="P68" s="74">
        <v>4904974800</v>
      </c>
      <c r="Q68" s="74">
        <v>4904974800</v>
      </c>
      <c r="R68" s="74">
        <v>3649388000</v>
      </c>
      <c r="S68" s="74">
        <v>1934280000</v>
      </c>
      <c r="T68" s="75">
        <f t="shared" si="7"/>
        <v>0.74401768588087347</v>
      </c>
      <c r="U68" s="75">
        <f t="shared" si="7"/>
        <v>0.53002859657564505</v>
      </c>
      <c r="V68" s="666">
        <v>45306</v>
      </c>
      <c r="W68" s="666">
        <v>45657</v>
      </c>
      <c r="X68" s="92" t="s">
        <v>5445</v>
      </c>
      <c r="Y68" s="3191"/>
    </row>
    <row r="69" spans="1:25" s="45" customFormat="1">
      <c r="A69" s="86"/>
      <c r="B69" s="94">
        <v>5402004</v>
      </c>
      <c r="C69" s="94" t="s">
        <v>102</v>
      </c>
      <c r="D69" s="87" t="s">
        <v>565</v>
      </c>
      <c r="E69" s="94"/>
      <c r="F69" s="94"/>
      <c r="G69" s="86"/>
      <c r="H69" s="94"/>
      <c r="I69" s="93"/>
      <c r="J69" s="86"/>
      <c r="K69" s="86"/>
      <c r="L69" s="664"/>
      <c r="M69" s="665"/>
      <c r="N69" s="699"/>
      <c r="O69" s="677"/>
      <c r="P69" s="273"/>
      <c r="Q69" s="273"/>
      <c r="R69" s="273"/>
      <c r="S69" s="273"/>
      <c r="T69" s="699"/>
      <c r="U69" s="699"/>
      <c r="V69" s="664"/>
      <c r="W69" s="664"/>
      <c r="X69" s="94"/>
      <c r="Y69" s="94"/>
    </row>
    <row r="70" spans="1:25" s="45" customFormat="1" ht="12.75">
      <c r="A70" s="88"/>
      <c r="B70" s="111">
        <v>54020040009</v>
      </c>
      <c r="C70" s="112" t="s">
        <v>103</v>
      </c>
      <c r="D70" s="101" t="s">
        <v>3263</v>
      </c>
      <c r="E70" s="70"/>
      <c r="F70" s="679"/>
      <c r="G70" s="88"/>
      <c r="H70" s="70"/>
      <c r="I70" s="71"/>
      <c r="J70" s="88"/>
      <c r="K70" s="88"/>
      <c r="L70" s="658"/>
      <c r="M70" s="659"/>
      <c r="N70" s="188"/>
      <c r="O70" s="225"/>
      <c r="P70" s="135"/>
      <c r="Q70" s="135"/>
      <c r="R70" s="135"/>
      <c r="S70" s="135"/>
      <c r="T70" s="188"/>
      <c r="U70" s="188"/>
      <c r="V70" s="658"/>
      <c r="W70" s="658"/>
      <c r="X70" s="70"/>
      <c r="Y70" s="70"/>
    </row>
    <row r="71" spans="1:25">
      <c r="A71" s="3193">
        <v>4152</v>
      </c>
      <c r="B71" s="128"/>
      <c r="C71" s="3197" t="s">
        <v>451</v>
      </c>
      <c r="D71" s="3194" t="s">
        <v>3264</v>
      </c>
      <c r="E71" s="72" t="s">
        <v>3265</v>
      </c>
      <c r="F71" s="680"/>
      <c r="G71" s="73"/>
      <c r="H71" s="72"/>
      <c r="I71" s="92"/>
      <c r="J71" s="73"/>
      <c r="K71" s="681">
        <f>SUM(K72)</f>
        <v>0.26</v>
      </c>
      <c r="L71" s="134">
        <f>SUM(L72)</f>
        <v>1</v>
      </c>
      <c r="M71" s="661"/>
      <c r="N71" s="75">
        <f>SUM(N72)</f>
        <v>0</v>
      </c>
      <c r="O71" s="3200">
        <f>IF(Q71&gt;0,N71,"NA")</f>
        <v>0</v>
      </c>
      <c r="P71" s="74">
        <f>SUM(P72)</f>
        <v>1628101200</v>
      </c>
      <c r="Q71" s="74">
        <f>SUM(Q72)</f>
        <v>1828101200</v>
      </c>
      <c r="R71" s="74">
        <f>SUM(R72)</f>
        <v>1313789000</v>
      </c>
      <c r="S71" s="74">
        <f>SUM(S72)</f>
        <v>725941000</v>
      </c>
      <c r="T71" s="75">
        <f>IF(Q71=0,0,R71/Q71)</f>
        <v>0.71866316810032183</v>
      </c>
      <c r="U71" s="75">
        <f>IF(R71=0,0,S71/R71)</f>
        <v>0.55255524288907887</v>
      </c>
      <c r="V71" s="666"/>
      <c r="W71" s="666"/>
      <c r="X71" s="72"/>
      <c r="Y71" s="72"/>
    </row>
    <row r="72" spans="1:25" ht="67.5">
      <c r="A72" s="3210"/>
      <c r="B72" s="307"/>
      <c r="C72" s="3210"/>
      <c r="D72" s="3211"/>
      <c r="E72" s="307" t="s">
        <v>3266</v>
      </c>
      <c r="F72" s="691"/>
      <c r="G72" s="116" t="s">
        <v>3263</v>
      </c>
      <c r="H72" s="691"/>
      <c r="I72" s="692" t="s">
        <v>3267</v>
      </c>
      <c r="J72" s="116" t="s">
        <v>124</v>
      </c>
      <c r="K72" s="693">
        <v>0.26</v>
      </c>
      <c r="L72" s="694">
        <v>1</v>
      </c>
      <c r="M72" s="695">
        <f>+H72</f>
        <v>0</v>
      </c>
      <c r="N72" s="694" t="s">
        <v>5446</v>
      </c>
      <c r="O72" s="3212"/>
      <c r="P72" s="706">
        <v>1628101200</v>
      </c>
      <c r="Q72" s="706">
        <v>1828101200</v>
      </c>
      <c r="R72" s="706">
        <v>1313789000</v>
      </c>
      <c r="S72" s="706">
        <v>725941000</v>
      </c>
      <c r="T72" s="139">
        <f>IF(Q72=0,0,R72/Q72)</f>
        <v>0.71866316810032183</v>
      </c>
      <c r="U72" s="139">
        <f>IF(R72=0,0,S72/R72)</f>
        <v>0.55255524288907887</v>
      </c>
      <c r="V72" s="696">
        <v>45306</v>
      </c>
      <c r="W72" s="696">
        <v>45657</v>
      </c>
      <c r="X72" s="181" t="s">
        <v>5447</v>
      </c>
      <c r="Y72" s="131" t="s">
        <v>3268</v>
      </c>
    </row>
    <row r="73" spans="1:25">
      <c r="A73" s="53"/>
      <c r="B73" s="52"/>
      <c r="C73" s="52"/>
      <c r="D73" s="682"/>
      <c r="E73" s="105"/>
      <c r="F73" s="105"/>
      <c r="G73" s="105"/>
      <c r="H73" s="611"/>
      <c r="I73" s="104"/>
      <c r="J73" s="105"/>
      <c r="K73" s="105"/>
      <c r="L73" s="105"/>
      <c r="M73" s="683"/>
      <c r="N73" s="105"/>
      <c r="O73" s="105"/>
      <c r="P73" s="117"/>
      <c r="Q73" s="117"/>
      <c r="R73" s="117"/>
      <c r="S73" s="117"/>
      <c r="T73" s="122"/>
      <c r="U73" s="122"/>
      <c r="V73" s="105"/>
      <c r="W73" s="105"/>
      <c r="X73" s="611"/>
      <c r="Y73" s="105"/>
    </row>
    <row r="74" spans="1:25">
      <c r="A74" s="51"/>
      <c r="B74" s="51" t="s">
        <v>36</v>
      </c>
      <c r="C74" s="109">
        <f>COUNTIF(C7:C72,"pr")</f>
        <v>16</v>
      </c>
      <c r="D74" s="107"/>
      <c r="E74" s="51" t="s">
        <v>112</v>
      </c>
      <c r="F74" s="51"/>
      <c r="G74" s="52">
        <f>COUNTIF(L7:L72,"na")-C75</f>
        <v>0</v>
      </c>
      <c r="H74" s="52"/>
      <c r="I74" s="682"/>
      <c r="J74" s="52"/>
      <c r="K74" s="51"/>
      <c r="L74" s="52"/>
      <c r="M74" s="559"/>
      <c r="N74" s="52" t="s">
        <v>1074</v>
      </c>
      <c r="O74" s="118">
        <f>AVERAGE(O11:O72)</f>
        <v>0.36000000000000004</v>
      </c>
      <c r="P74" s="54">
        <f>+P11+P18+P22+P25+P29+P32+P39+P44+P47+P50+P54+P57+P61+P67+P71</f>
        <v>181048302839</v>
      </c>
      <c r="Q74" s="54">
        <f>+Q11+Q18+Q22+Q25+Q29+Q32+Q35+Q39+Q44+Q47+Q50+Q54+Q57+Q61+Q67+Q71</f>
        <v>362357075828</v>
      </c>
      <c r="R74" s="54">
        <f>+R11+R18+R22+R25+R29+R32+R39+R44+R47+R50+R54+R57+R61+R67+R71</f>
        <v>215165536923</v>
      </c>
      <c r="S74" s="54">
        <f>+S11+S18+S22+S25+S29+S32+S39+S44+S47+S50+S54+S57+S61+S67+S71</f>
        <v>197442416633</v>
      </c>
      <c r="T74" s="123">
        <f>IF(Q74=0,0,R74/Q74)</f>
        <v>0.59379421922792153</v>
      </c>
      <c r="U74" s="123">
        <f>IF(R74=0,0,S74/R74)</f>
        <v>0.9176303020295371</v>
      </c>
      <c r="V74" s="51"/>
      <c r="W74" s="51"/>
      <c r="X74" s="52"/>
      <c r="Y74" s="51"/>
    </row>
    <row r="75" spans="1:25">
      <c r="A75" s="51"/>
      <c r="B75" s="52"/>
      <c r="C75" s="52"/>
      <c r="D75" s="682"/>
      <c r="E75" s="51"/>
      <c r="F75" s="51"/>
      <c r="G75" s="51"/>
      <c r="H75" s="51"/>
      <c r="I75" s="682"/>
      <c r="J75" s="51"/>
      <c r="K75" s="51"/>
      <c r="L75" s="51"/>
      <c r="M75" s="708"/>
      <c r="N75" s="709" t="s">
        <v>3269</v>
      </c>
      <c r="O75" s="52">
        <f>COUNTIF(O11:O72,"=0%")</f>
        <v>3</v>
      </c>
      <c r="P75" s="54">
        <v>181048302839</v>
      </c>
      <c r="Q75" s="54">
        <v>362357075828</v>
      </c>
      <c r="R75" s="54">
        <v>215165536923</v>
      </c>
      <c r="S75" s="54">
        <v>197442416633</v>
      </c>
      <c r="T75" s="560"/>
      <c r="U75" s="560"/>
      <c r="V75" s="51"/>
      <c r="W75" s="51"/>
      <c r="X75" s="52"/>
      <c r="Y75" s="51"/>
    </row>
    <row r="76" spans="1:25">
      <c r="A76" s="53"/>
      <c r="B76" s="102"/>
      <c r="C76" s="102"/>
      <c r="D76" s="53"/>
      <c r="E76" s="611"/>
      <c r="F76" s="105"/>
      <c r="G76" s="105"/>
      <c r="H76" s="611"/>
      <c r="I76" s="105"/>
      <c r="J76" s="611"/>
      <c r="K76" s="105"/>
      <c r="L76" s="105"/>
      <c r="M76" s="683"/>
      <c r="N76" s="105"/>
      <c r="O76" s="105"/>
      <c r="P76" s="117">
        <f>P75-P74</f>
        <v>0</v>
      </c>
      <c r="Q76" s="117">
        <f>Q75-Q74</f>
        <v>0</v>
      </c>
      <c r="R76" s="117">
        <f>R75-R74</f>
        <v>0</v>
      </c>
      <c r="S76" s="117">
        <f>S75-S74</f>
        <v>0</v>
      </c>
      <c r="T76"/>
      <c r="U76" s="122"/>
      <c r="V76" s="105"/>
      <c r="W76" s="105"/>
      <c r="X76" s="611"/>
      <c r="Y76" s="105"/>
    </row>
  </sheetData>
  <autoFilter ref="A5:Y67" xr:uid="{00000000-0009-0000-0000-000012000000}"/>
  <mergeCells count="100">
    <mergeCell ref="A71:A72"/>
    <mergeCell ref="C71:C72"/>
    <mergeCell ref="D71:D72"/>
    <mergeCell ref="O71:O72"/>
    <mergeCell ref="Y57:Y59"/>
    <mergeCell ref="A61:A62"/>
    <mergeCell ref="C61:C62"/>
    <mergeCell ref="D61:D62"/>
    <mergeCell ref="O61:O62"/>
    <mergeCell ref="A67:A68"/>
    <mergeCell ref="C67:C68"/>
    <mergeCell ref="D67:D68"/>
    <mergeCell ref="O67:O68"/>
    <mergeCell ref="Y67:Y68"/>
    <mergeCell ref="A57:A59"/>
    <mergeCell ref="C57:C59"/>
    <mergeCell ref="Y40:Y42"/>
    <mergeCell ref="A44:A45"/>
    <mergeCell ref="C44:C45"/>
    <mergeCell ref="D44:D45"/>
    <mergeCell ref="O44:O45"/>
    <mergeCell ref="D57:D59"/>
    <mergeCell ref="O57:O59"/>
    <mergeCell ref="A50:A52"/>
    <mergeCell ref="C50:C52"/>
    <mergeCell ref="D50:D52"/>
    <mergeCell ref="O50:O52"/>
    <mergeCell ref="Y51:Y52"/>
    <mergeCell ref="A54:A55"/>
    <mergeCell ref="C54:C55"/>
    <mergeCell ref="D54:D55"/>
    <mergeCell ref="O54:O55"/>
    <mergeCell ref="Y54:Y55"/>
    <mergeCell ref="A47:A48"/>
    <mergeCell ref="C47:C48"/>
    <mergeCell ref="D47:D48"/>
    <mergeCell ref="O47:O48"/>
    <mergeCell ref="A39:A42"/>
    <mergeCell ref="C39:C42"/>
    <mergeCell ref="D39:D42"/>
    <mergeCell ref="O39:O42"/>
    <mergeCell ref="Y32:Y33"/>
    <mergeCell ref="A29:A30"/>
    <mergeCell ref="C29:C30"/>
    <mergeCell ref="D29:D30"/>
    <mergeCell ref="O29:O30"/>
    <mergeCell ref="A32:A33"/>
    <mergeCell ref="C32:C33"/>
    <mergeCell ref="D32:D33"/>
    <mergeCell ref="O32:O33"/>
    <mergeCell ref="A25:A26"/>
    <mergeCell ref="C25:C26"/>
    <mergeCell ref="D25:D26"/>
    <mergeCell ref="O25:O26"/>
    <mergeCell ref="Y25:Y26"/>
    <mergeCell ref="A18:A19"/>
    <mergeCell ref="C18:C19"/>
    <mergeCell ref="D18:D19"/>
    <mergeCell ref="O18:O19"/>
    <mergeCell ref="A22:A23"/>
    <mergeCell ref="C22:C23"/>
    <mergeCell ref="D22:D23"/>
    <mergeCell ref="O22:O23"/>
    <mergeCell ref="A11:A13"/>
    <mergeCell ref="C11:C13"/>
    <mergeCell ref="D11:D13"/>
    <mergeCell ref="O11:O13"/>
    <mergeCell ref="Y12:Y13"/>
    <mergeCell ref="A5:A6"/>
    <mergeCell ref="X5:X6"/>
    <mergeCell ref="S5:S6"/>
    <mergeCell ref="O5:O6"/>
    <mergeCell ref="V5:V6"/>
    <mergeCell ref="J5:J6"/>
    <mergeCell ref="D5:D6"/>
    <mergeCell ref="B5:B6"/>
    <mergeCell ref="C5:C6"/>
    <mergeCell ref="W5:W6"/>
    <mergeCell ref="L5:L6"/>
    <mergeCell ref="M5:M6"/>
    <mergeCell ref="E5:E6"/>
    <mergeCell ref="N5:N6"/>
    <mergeCell ref="F5:F6"/>
    <mergeCell ref="I5:I6"/>
    <mergeCell ref="A1:X1"/>
    <mergeCell ref="T5:T6"/>
    <mergeCell ref="P5:P6"/>
    <mergeCell ref="R5:R6"/>
    <mergeCell ref="U5:U6"/>
    <mergeCell ref="K5:K6"/>
    <mergeCell ref="A3:B3"/>
    <mergeCell ref="V3:W3"/>
    <mergeCell ref="Q5:Q6"/>
    <mergeCell ref="A2:Y2"/>
    <mergeCell ref="Y5:Y6"/>
    <mergeCell ref="C3:R3"/>
    <mergeCell ref="S3:U3"/>
    <mergeCell ref="A4:Y4"/>
    <mergeCell ref="G5:G6"/>
    <mergeCell ref="H5:H6"/>
  </mergeCells>
  <conditionalFormatting sqref="I68">
    <cfRule type="cellIs" dxfId="0" priority="1" stopIfTrue="1" operator="equal">
      <formula>"ESCRIBA AQUÍ EL NOMBRE DEL CAPITULO"</formula>
    </cfRule>
  </conditionalFormatting>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154"/>
  <sheetViews>
    <sheetView topLeftCell="D147" zoomScale="80" zoomScaleNormal="80" zoomScaleSheetLayoutView="100" workbookViewId="0">
      <selection activeCell="L157" sqref="L157"/>
    </sheetView>
  </sheetViews>
  <sheetFormatPr baseColWidth="10" defaultColWidth="11.42578125" defaultRowHeight="16.5"/>
  <cols>
    <col min="1" max="1" width="13" style="2" customWidth="1"/>
    <col min="2" max="2" width="10.85546875" style="3" customWidth="1"/>
    <col min="3" max="3" width="8.5703125" style="2" customWidth="1"/>
    <col min="4" max="4" width="55" style="3" customWidth="1"/>
    <col min="5" max="5" width="13" style="3" customWidth="1"/>
    <col min="6" max="7" width="12.42578125" style="3" customWidth="1"/>
    <col min="8" max="8" width="10.5703125" style="3" customWidth="1"/>
    <col min="9" max="9" width="17.7109375" style="3" customWidth="1"/>
    <col min="10" max="10" width="17.5703125" style="2" customWidth="1"/>
    <col min="11" max="11" width="11.5703125" style="16" customWidth="1"/>
    <col min="12" max="13" width="13.140625" style="16" customWidth="1"/>
    <col min="14" max="14" width="12.7109375" style="3" customWidth="1"/>
    <col min="15" max="15" width="11.7109375" style="2" customWidth="1"/>
    <col min="16" max="16" width="14.28515625" style="3" customWidth="1"/>
    <col min="17" max="17" width="14.140625" style="3" customWidth="1"/>
    <col min="18" max="21" width="12.7109375" style="3" customWidth="1"/>
    <col min="22" max="23" width="10.7109375" style="3" customWidth="1"/>
    <col min="24" max="24" width="34" style="3" customWidth="1"/>
    <col min="25" max="25" width="17.140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57</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5"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8" t="s">
        <v>12</v>
      </c>
      <c r="O5" s="2838" t="s">
        <v>72</v>
      </c>
      <c r="P5" s="2839" t="s">
        <v>1</v>
      </c>
      <c r="Q5" s="2838" t="s">
        <v>13</v>
      </c>
      <c r="R5" s="2838" t="s">
        <v>14</v>
      </c>
      <c r="S5" s="2838" t="s">
        <v>16</v>
      </c>
      <c r="T5" s="2838" t="s">
        <v>15</v>
      </c>
      <c r="U5" s="2838" t="s">
        <v>89</v>
      </c>
      <c r="V5" s="2839" t="s">
        <v>6</v>
      </c>
      <c r="W5" s="2839" t="s">
        <v>7</v>
      </c>
      <c r="X5" s="2838" t="s">
        <v>0</v>
      </c>
      <c r="Y5" s="2838" t="s">
        <v>76</v>
      </c>
    </row>
    <row r="6" spans="1:25" ht="42.75" customHeight="1">
      <c r="A6" s="2881"/>
      <c r="B6" s="2881"/>
      <c r="C6" s="2881"/>
      <c r="D6" s="2881"/>
      <c r="E6" s="2881"/>
      <c r="F6" s="2881"/>
      <c r="G6" s="2881"/>
      <c r="H6" s="2881"/>
      <c r="I6" s="2881"/>
      <c r="J6" s="2881"/>
      <c r="K6" s="2881"/>
      <c r="L6" s="2881"/>
      <c r="M6" s="2883"/>
      <c r="N6" s="2883"/>
      <c r="O6" s="2883"/>
      <c r="P6" s="2884"/>
      <c r="Q6" s="2883"/>
      <c r="R6" s="2883"/>
      <c r="S6" s="2883"/>
      <c r="T6" s="2883"/>
      <c r="U6" s="2883"/>
      <c r="V6" s="2884"/>
      <c r="W6" s="2884"/>
      <c r="X6" s="2883"/>
      <c r="Y6" s="2883"/>
    </row>
    <row r="7" spans="1:25">
      <c r="A7" s="1643"/>
      <c r="B7" s="1215">
        <v>51</v>
      </c>
      <c r="C7" s="1215" t="s">
        <v>100</v>
      </c>
      <c r="D7" s="1216" t="s">
        <v>1171</v>
      </c>
      <c r="E7" s="1644"/>
      <c r="F7" s="1645"/>
      <c r="G7" s="1646"/>
      <c r="H7" s="1647"/>
      <c r="I7" s="1648"/>
      <c r="J7" s="1649"/>
      <c r="K7" s="1650"/>
      <c r="L7" s="1651"/>
      <c r="M7" s="1647"/>
      <c r="N7" s="1652"/>
      <c r="O7" s="1653"/>
      <c r="P7" s="1654"/>
      <c r="Q7" s="1654"/>
      <c r="R7" s="1654"/>
      <c r="S7" s="1654"/>
      <c r="T7" s="1654"/>
      <c r="U7" s="1654"/>
      <c r="V7" s="1655"/>
      <c r="W7" s="1656"/>
      <c r="X7" s="1657"/>
      <c r="Y7" s="1658"/>
    </row>
    <row r="8" spans="1:25">
      <c r="A8" s="1659"/>
      <c r="B8" s="499">
        <v>5105</v>
      </c>
      <c r="C8" s="499" t="s">
        <v>101</v>
      </c>
      <c r="D8" s="500" t="s">
        <v>664</v>
      </c>
      <c r="E8" s="710"/>
      <c r="F8" s="711"/>
      <c r="G8" s="712"/>
      <c r="H8" s="363"/>
      <c r="I8" s="494"/>
      <c r="J8" s="713"/>
      <c r="K8" s="493"/>
      <c r="L8" s="1660"/>
      <c r="M8" s="363"/>
      <c r="N8" s="1661"/>
      <c r="O8" s="714"/>
      <c r="P8" s="715"/>
      <c r="Q8" s="715"/>
      <c r="R8" s="715"/>
      <c r="S8" s="715"/>
      <c r="T8" s="715"/>
      <c r="U8" s="715"/>
      <c r="V8" s="716"/>
      <c r="W8" s="717"/>
      <c r="X8" s="320"/>
      <c r="Y8" s="1662"/>
    </row>
    <row r="9" spans="1:25">
      <c r="A9" s="1663"/>
      <c r="B9" s="511">
        <v>5105003</v>
      </c>
      <c r="C9" s="511" t="s">
        <v>102</v>
      </c>
      <c r="D9" s="512" t="s">
        <v>3270</v>
      </c>
      <c r="E9" s="718"/>
      <c r="F9" s="719"/>
      <c r="G9" s="720"/>
      <c r="H9" s="363"/>
      <c r="I9" s="185"/>
      <c r="J9" s="721"/>
      <c r="K9" s="189"/>
      <c r="L9" s="1664"/>
      <c r="M9" s="363"/>
      <c r="N9" s="1661"/>
      <c r="O9" s="714"/>
      <c r="P9" s="722"/>
      <c r="Q9" s="715"/>
      <c r="R9" s="715"/>
      <c r="S9" s="715"/>
      <c r="T9" s="715"/>
      <c r="U9" s="715"/>
      <c r="V9" s="723"/>
      <c r="W9" s="724"/>
      <c r="X9" s="320"/>
      <c r="Y9" s="1665"/>
    </row>
    <row r="10" spans="1:25" ht="25.5">
      <c r="A10" s="1666"/>
      <c r="B10" s="725">
        <v>51050030001</v>
      </c>
      <c r="C10" s="725" t="s">
        <v>103</v>
      </c>
      <c r="D10" s="502" t="s">
        <v>3271</v>
      </c>
      <c r="E10" s="726"/>
      <c r="F10" s="727"/>
      <c r="G10" s="482"/>
      <c r="H10" s="727">
        <f>+H12</f>
        <v>220</v>
      </c>
      <c r="I10" s="364"/>
      <c r="J10" s="364"/>
      <c r="K10" s="607"/>
      <c r="L10" s="1667"/>
      <c r="M10" s="363"/>
      <c r="N10" s="1661"/>
      <c r="O10" s="714"/>
      <c r="P10" s="728"/>
      <c r="Q10" s="715"/>
      <c r="R10" s="715"/>
      <c r="S10" s="715"/>
      <c r="T10" s="715"/>
      <c r="U10" s="715"/>
      <c r="V10" s="729"/>
      <c r="W10" s="729"/>
      <c r="X10" s="320"/>
      <c r="Y10" s="1668"/>
    </row>
    <row r="11" spans="1:25" ht="16.5" customHeight="1">
      <c r="A11" s="3213">
        <v>4161</v>
      </c>
      <c r="B11" s="3217"/>
      <c r="C11" s="2959" t="s">
        <v>109</v>
      </c>
      <c r="D11" s="2973" t="s">
        <v>3272</v>
      </c>
      <c r="E11" s="730" t="s">
        <v>3273</v>
      </c>
      <c r="F11" s="727"/>
      <c r="G11" s="482"/>
      <c r="H11" s="727"/>
      <c r="I11" s="280"/>
      <c r="J11" s="280"/>
      <c r="K11" s="363">
        <f>SUM(K12)</f>
        <v>220</v>
      </c>
      <c r="L11" s="1661">
        <f>SUM(L12)</f>
        <v>1</v>
      </c>
      <c r="M11" s="363">
        <f>SUM(M12)</f>
        <v>180</v>
      </c>
      <c r="N11" s="1661">
        <f>SUM(N12)</f>
        <v>0.81818181818181823</v>
      </c>
      <c r="O11" s="3215">
        <f>+IF(Q11&gt;0,N11,"na")</f>
        <v>0.81818181818181823</v>
      </c>
      <c r="P11" s="732">
        <f>SUM(P12)</f>
        <v>870315507</v>
      </c>
      <c r="Q11" s="732">
        <f t="shared" ref="Q11:S11" si="0">SUM(Q12)</f>
        <v>870315507</v>
      </c>
      <c r="R11" s="732">
        <f t="shared" si="0"/>
        <v>393583000</v>
      </c>
      <c r="S11" s="732">
        <f t="shared" si="0"/>
        <v>146544000</v>
      </c>
      <c r="T11" s="861">
        <f>+R11/Q11</f>
        <v>0.45223025079340567</v>
      </c>
      <c r="U11" s="861">
        <f>+S11/R11</f>
        <v>0.37233315463320316</v>
      </c>
      <c r="V11" s="733"/>
      <c r="W11" s="733"/>
      <c r="X11" s="320"/>
      <c r="Y11" s="3216" t="s">
        <v>3274</v>
      </c>
    </row>
    <row r="12" spans="1:25" ht="121.5">
      <c r="A12" s="3213"/>
      <c r="B12" s="3217"/>
      <c r="C12" s="2959"/>
      <c r="D12" s="2973"/>
      <c r="E12" s="730" t="s">
        <v>3275</v>
      </c>
      <c r="F12" s="727"/>
      <c r="G12" s="482" t="s">
        <v>3271</v>
      </c>
      <c r="H12" s="727">
        <v>220</v>
      </c>
      <c r="I12" s="183" t="s">
        <v>3276</v>
      </c>
      <c r="J12" s="734" t="s">
        <v>3277</v>
      </c>
      <c r="K12" s="363">
        <v>220</v>
      </c>
      <c r="L12" s="1661">
        <v>1</v>
      </c>
      <c r="M12" s="363">
        <v>180</v>
      </c>
      <c r="N12" s="1661">
        <f>+M12/K12</f>
        <v>0.81818181818181823</v>
      </c>
      <c r="O12" s="3215"/>
      <c r="P12" s="1669">
        <v>870315507</v>
      </c>
      <c r="Q12" s="1669">
        <v>870315507</v>
      </c>
      <c r="R12" s="1669">
        <v>393583000</v>
      </c>
      <c r="S12" s="1669">
        <v>146544000</v>
      </c>
      <c r="T12" s="861">
        <f>+R12/Q12</f>
        <v>0.45223025079340567</v>
      </c>
      <c r="U12" s="861">
        <f>+S12/R12</f>
        <v>0.37233315463320316</v>
      </c>
      <c r="V12" s="859">
        <v>45309</v>
      </c>
      <c r="W12" s="859">
        <v>45657</v>
      </c>
      <c r="X12" s="320" t="s">
        <v>5448</v>
      </c>
      <c r="Y12" s="3216"/>
    </row>
    <row r="13" spans="1:25">
      <c r="A13" s="1670"/>
      <c r="B13" s="725">
        <v>51050030002</v>
      </c>
      <c r="C13" s="725" t="s">
        <v>103</v>
      </c>
      <c r="D13" s="502" t="s">
        <v>3278</v>
      </c>
      <c r="E13" s="730"/>
      <c r="F13" s="727"/>
      <c r="G13" s="482"/>
      <c r="H13" s="727">
        <f>+H15</f>
        <v>300</v>
      </c>
      <c r="I13" s="335"/>
      <c r="J13" s="335"/>
      <c r="K13" s="363"/>
      <c r="L13" s="1661"/>
      <c r="M13" s="363"/>
      <c r="N13" s="1661"/>
      <c r="O13" s="714"/>
      <c r="P13" s="1669"/>
      <c r="Q13" s="860"/>
      <c r="R13" s="860"/>
      <c r="S13" s="860"/>
      <c r="T13" s="715"/>
      <c r="U13" s="715"/>
      <c r="V13" s="859"/>
      <c r="W13" s="859"/>
      <c r="X13" s="320"/>
      <c r="Y13" s="1671"/>
    </row>
    <row r="14" spans="1:25" ht="16.5" customHeight="1">
      <c r="A14" s="3213">
        <v>4161</v>
      </c>
      <c r="B14" s="3214"/>
      <c r="C14" s="3214" t="s">
        <v>109</v>
      </c>
      <c r="D14" s="2973" t="s">
        <v>3279</v>
      </c>
      <c r="E14" s="730" t="s">
        <v>3280</v>
      </c>
      <c r="F14" s="727"/>
      <c r="G14" s="482"/>
      <c r="H14" s="727"/>
      <c r="I14" s="183"/>
      <c r="J14" s="734"/>
      <c r="K14" s="363">
        <f>SUM(K15)</f>
        <v>300</v>
      </c>
      <c r="L14" s="1661">
        <f>SUM(L15)</f>
        <v>1</v>
      </c>
      <c r="M14" s="363">
        <f>SUM(M15)</f>
        <v>0</v>
      </c>
      <c r="N14" s="1661">
        <f>SUM(N15)</f>
        <v>0.1</v>
      </c>
      <c r="O14" s="3215">
        <f>+IF(Q14&gt;0,N14,"na")</f>
        <v>0.1</v>
      </c>
      <c r="P14" s="1669">
        <f>SUM(P15)</f>
        <v>110816000</v>
      </c>
      <c r="Q14" s="1669">
        <f t="shared" ref="Q14:S14" si="1">SUM(Q15)</f>
        <v>110816000</v>
      </c>
      <c r="R14" s="1669">
        <f t="shared" si="1"/>
        <v>16400000</v>
      </c>
      <c r="S14" s="1669">
        <f t="shared" si="1"/>
        <v>0</v>
      </c>
      <c r="T14" s="861">
        <f>+R14/Q14</f>
        <v>0.14799306959283859</v>
      </c>
      <c r="U14" s="861">
        <v>0</v>
      </c>
      <c r="V14" s="860"/>
      <c r="W14" s="860"/>
      <c r="X14" s="320"/>
      <c r="Y14" s="3216" t="s">
        <v>3274</v>
      </c>
    </row>
    <row r="15" spans="1:25" ht="81">
      <c r="A15" s="3213"/>
      <c r="B15" s="3214"/>
      <c r="C15" s="3214"/>
      <c r="D15" s="2973"/>
      <c r="E15" s="730" t="s">
        <v>3281</v>
      </c>
      <c r="F15" s="727"/>
      <c r="G15" s="482" t="s">
        <v>3278</v>
      </c>
      <c r="H15" s="727">
        <v>300</v>
      </c>
      <c r="I15" s="183" t="s">
        <v>3282</v>
      </c>
      <c r="J15" s="734" t="s">
        <v>125</v>
      </c>
      <c r="K15" s="363">
        <v>300</v>
      </c>
      <c r="L15" s="1661">
        <v>1</v>
      </c>
      <c r="M15" s="363">
        <v>0</v>
      </c>
      <c r="N15" s="1661">
        <v>0.1</v>
      </c>
      <c r="O15" s="3215"/>
      <c r="P15" s="1669">
        <v>110816000</v>
      </c>
      <c r="Q15" s="1669">
        <v>110816000</v>
      </c>
      <c r="R15" s="1669">
        <v>16400000</v>
      </c>
      <c r="S15" s="1669" t="s">
        <v>5449</v>
      </c>
      <c r="T15" s="861">
        <f>+R15/Q15</f>
        <v>0.14799306959283859</v>
      </c>
      <c r="U15" s="861">
        <v>0</v>
      </c>
      <c r="V15" s="859">
        <v>45413</v>
      </c>
      <c r="W15" s="859">
        <v>45657</v>
      </c>
      <c r="X15" s="320" t="s">
        <v>5450</v>
      </c>
      <c r="Y15" s="3216"/>
    </row>
    <row r="16" spans="1:25">
      <c r="A16" s="1666"/>
      <c r="B16" s="725">
        <v>51050030003</v>
      </c>
      <c r="C16" s="725" t="s">
        <v>103</v>
      </c>
      <c r="D16" s="502" t="s">
        <v>3283</v>
      </c>
      <c r="E16" s="726"/>
      <c r="F16" s="727"/>
      <c r="G16" s="482"/>
      <c r="H16" s="727">
        <f>+H18</f>
        <v>780</v>
      </c>
      <c r="I16" s="364"/>
      <c r="J16" s="364"/>
      <c r="K16" s="607"/>
      <c r="L16" s="1667"/>
      <c r="M16" s="363"/>
      <c r="N16" s="1661"/>
      <c r="O16" s="714"/>
      <c r="P16" s="735"/>
      <c r="Q16" s="860"/>
      <c r="R16" s="860"/>
      <c r="S16" s="860"/>
      <c r="T16" s="715"/>
      <c r="U16" s="715"/>
      <c r="V16" s="859"/>
      <c r="W16" s="859"/>
      <c r="X16" s="320"/>
      <c r="Y16" s="1672"/>
    </row>
    <row r="17" spans="1:25" ht="16.5" customHeight="1">
      <c r="A17" s="3213">
        <v>4161</v>
      </c>
      <c r="B17" s="3214"/>
      <c r="C17" s="3214" t="s">
        <v>109</v>
      </c>
      <c r="D17" s="2973" t="s">
        <v>3284</v>
      </c>
      <c r="E17" s="730" t="s">
        <v>3285</v>
      </c>
      <c r="F17" s="727"/>
      <c r="G17" s="482"/>
      <c r="H17" s="727"/>
      <c r="I17" s="486"/>
      <c r="J17" s="486"/>
      <c r="K17" s="363">
        <f>SUM(K18)</f>
        <v>780</v>
      </c>
      <c r="L17" s="1661">
        <f>SUM(L18:L18)</f>
        <v>1</v>
      </c>
      <c r="M17" s="363">
        <f>SUM(M18)</f>
        <v>160</v>
      </c>
      <c r="N17" s="1661">
        <f>SUM(N18)</f>
        <v>0.20512820512820512</v>
      </c>
      <c r="O17" s="3215">
        <f>+IF(Q17&gt;0,N17,"na")</f>
        <v>0.20512820512820512</v>
      </c>
      <c r="P17" s="732">
        <f>SUM(P18)</f>
        <v>395722875</v>
      </c>
      <c r="Q17" s="732">
        <f t="shared" ref="Q17:S17" si="2">SUM(Q18)</f>
        <v>468834875</v>
      </c>
      <c r="R17" s="732">
        <f t="shared" si="2"/>
        <v>169714000</v>
      </c>
      <c r="S17" s="732">
        <f t="shared" si="2"/>
        <v>90052058</v>
      </c>
      <c r="T17" s="861">
        <f>+R17/Q17</f>
        <v>0.36199098883162223</v>
      </c>
      <c r="U17" s="861">
        <f>+S17/R17</f>
        <v>0.53061066264421319</v>
      </c>
      <c r="V17" s="860"/>
      <c r="W17" s="860"/>
      <c r="X17" s="320"/>
      <c r="Y17" s="3216" t="s">
        <v>3274</v>
      </c>
    </row>
    <row r="18" spans="1:25" ht="81">
      <c r="A18" s="3213"/>
      <c r="B18" s="3214"/>
      <c r="C18" s="3214"/>
      <c r="D18" s="2973"/>
      <c r="E18" s="730" t="s">
        <v>3286</v>
      </c>
      <c r="F18" s="727"/>
      <c r="G18" s="482" t="s">
        <v>3283</v>
      </c>
      <c r="H18" s="727">
        <v>780</v>
      </c>
      <c r="I18" s="183" t="s">
        <v>3287</v>
      </c>
      <c r="J18" s="734" t="s">
        <v>3288</v>
      </c>
      <c r="K18" s="363">
        <v>780</v>
      </c>
      <c r="L18" s="1661">
        <v>1</v>
      </c>
      <c r="M18" s="363">
        <v>160</v>
      </c>
      <c r="N18" s="1661">
        <f>+M18/K18</f>
        <v>0.20512820512820512</v>
      </c>
      <c r="O18" s="3215"/>
      <c r="P18" s="1669">
        <v>395722875</v>
      </c>
      <c r="Q18" s="1669">
        <v>468834875</v>
      </c>
      <c r="R18" s="1669">
        <v>169714000</v>
      </c>
      <c r="S18" s="1669">
        <v>90052058</v>
      </c>
      <c r="T18" s="861">
        <f>+R18/Q18</f>
        <v>0.36199098883162223</v>
      </c>
      <c r="U18" s="861">
        <f>+S18/R18</f>
        <v>0.53061066264421319</v>
      </c>
      <c r="V18" s="859">
        <v>45309</v>
      </c>
      <c r="W18" s="859">
        <v>45657</v>
      </c>
      <c r="X18" s="320" t="s">
        <v>5451</v>
      </c>
      <c r="Y18" s="3216"/>
    </row>
    <row r="19" spans="1:25">
      <c r="A19" s="1673"/>
      <c r="B19" s="499">
        <v>52</v>
      </c>
      <c r="C19" s="499" t="s">
        <v>100</v>
      </c>
      <c r="D19" s="500" t="s">
        <v>148</v>
      </c>
      <c r="E19" s="710"/>
      <c r="F19" s="727"/>
      <c r="G19" s="486"/>
      <c r="H19" s="736"/>
      <c r="I19" s="737"/>
      <c r="J19" s="737"/>
      <c r="K19" s="711"/>
      <c r="L19" s="1660"/>
      <c r="M19" s="363"/>
      <c r="N19" s="1661"/>
      <c r="O19" s="714"/>
      <c r="P19" s="1674"/>
      <c r="Q19" s="361"/>
      <c r="R19" s="361"/>
      <c r="S19" s="361"/>
      <c r="T19" s="361"/>
      <c r="U19" s="361"/>
      <c r="V19" s="859"/>
      <c r="W19" s="859"/>
      <c r="X19" s="320"/>
      <c r="Y19" s="1675"/>
    </row>
    <row r="20" spans="1:25">
      <c r="A20" s="1673"/>
      <c r="B20" s="499">
        <v>5201</v>
      </c>
      <c r="C20" s="499" t="s">
        <v>101</v>
      </c>
      <c r="D20" s="500" t="s">
        <v>1178</v>
      </c>
      <c r="E20" s="710"/>
      <c r="F20" s="727"/>
      <c r="G20" s="486"/>
      <c r="H20" s="736"/>
      <c r="I20" s="737"/>
      <c r="J20" s="737"/>
      <c r="K20" s="711"/>
      <c r="L20" s="1660"/>
      <c r="M20" s="363"/>
      <c r="N20" s="1661"/>
      <c r="O20" s="714"/>
      <c r="P20" s="738"/>
      <c r="Q20" s="361"/>
      <c r="R20" s="361"/>
      <c r="S20" s="361"/>
      <c r="T20" s="361"/>
      <c r="U20" s="361"/>
      <c r="V20" s="859"/>
      <c r="W20" s="859"/>
      <c r="X20" s="320"/>
      <c r="Y20" s="1675"/>
    </row>
    <row r="21" spans="1:25">
      <c r="A21" s="1676"/>
      <c r="B21" s="511">
        <v>5201002</v>
      </c>
      <c r="C21" s="511" t="s">
        <v>102</v>
      </c>
      <c r="D21" s="512" t="s">
        <v>1479</v>
      </c>
      <c r="E21" s="718"/>
      <c r="F21" s="727"/>
      <c r="G21" s="486"/>
      <c r="H21" s="736"/>
      <c r="I21" s="361"/>
      <c r="J21" s="361"/>
      <c r="K21" s="719"/>
      <c r="L21" s="1664"/>
      <c r="M21" s="363"/>
      <c r="N21" s="1661"/>
      <c r="O21" s="714"/>
      <c r="P21" s="739"/>
      <c r="Q21" s="361"/>
      <c r="R21" s="361"/>
      <c r="S21" s="361"/>
      <c r="T21" s="361"/>
      <c r="U21" s="361"/>
      <c r="V21" s="859"/>
      <c r="W21" s="859"/>
      <c r="X21" s="320"/>
      <c r="Y21" s="1677"/>
    </row>
    <row r="22" spans="1:25" ht="25.5">
      <c r="A22" s="1666"/>
      <c r="B22" s="725">
        <v>52010020001</v>
      </c>
      <c r="C22" s="725" t="s">
        <v>103</v>
      </c>
      <c r="D22" s="502" t="s">
        <v>3289</v>
      </c>
      <c r="E22" s="726"/>
      <c r="F22" s="727"/>
      <c r="G22" s="740"/>
      <c r="H22" s="736">
        <f>+H24</f>
        <v>1017</v>
      </c>
      <c r="I22" s="741"/>
      <c r="J22" s="742"/>
      <c r="K22" s="714"/>
      <c r="L22" s="1678"/>
      <c r="M22" s="363"/>
      <c r="N22" s="1661"/>
      <c r="O22" s="714"/>
      <c r="P22" s="1679"/>
      <c r="Q22" s="361"/>
      <c r="R22" s="361"/>
      <c r="S22" s="361"/>
      <c r="T22" s="361"/>
      <c r="U22" s="361"/>
      <c r="V22" s="859"/>
      <c r="W22" s="859"/>
      <c r="X22" s="320"/>
      <c r="Y22" s="1680"/>
    </row>
    <row r="23" spans="1:25" ht="16.5" customHeight="1">
      <c r="A23" s="3213">
        <v>4161</v>
      </c>
      <c r="B23" s="3218"/>
      <c r="C23" s="2935" t="s">
        <v>109</v>
      </c>
      <c r="D23" s="3219" t="s">
        <v>3290</v>
      </c>
      <c r="E23" s="513" t="s">
        <v>3291</v>
      </c>
      <c r="F23" s="727"/>
      <c r="G23" s="183"/>
      <c r="H23" s="736"/>
      <c r="I23" s="486"/>
      <c r="J23" s="486"/>
      <c r="K23" s="363">
        <f>SUM(K24)</f>
        <v>1017</v>
      </c>
      <c r="L23" s="1661">
        <f>SUM(L24:L24)</f>
        <v>1</v>
      </c>
      <c r="M23" s="363">
        <f>SUM(M24)</f>
        <v>1662</v>
      </c>
      <c r="N23" s="1661">
        <f>SUM(N24)</f>
        <v>1</v>
      </c>
      <c r="O23" s="3215">
        <f>+IF(Q23&gt;0,N23,"na")</f>
        <v>1</v>
      </c>
      <c r="P23" s="732">
        <f>SUM(P24:P24)</f>
        <v>8180087042</v>
      </c>
      <c r="Q23" s="732">
        <f t="shared" ref="Q23:S23" si="3">SUM(Q24:Q24)</f>
        <v>11400473653</v>
      </c>
      <c r="R23" s="732">
        <f t="shared" si="3"/>
        <v>4796953515</v>
      </c>
      <c r="S23" s="732">
        <f t="shared" si="3"/>
        <v>2305699422</v>
      </c>
      <c r="T23" s="861">
        <f>+R23/Q23</f>
        <v>0.42076791377327522</v>
      </c>
      <c r="U23" s="861">
        <f>+S23/R23</f>
        <v>0.48065911307877246</v>
      </c>
      <c r="V23" s="859"/>
      <c r="W23" s="859"/>
      <c r="X23" s="320"/>
      <c r="Y23" s="3220" t="s">
        <v>3292</v>
      </c>
    </row>
    <row r="24" spans="1:25" ht="121.5">
      <c r="A24" s="3213"/>
      <c r="B24" s="3218"/>
      <c r="C24" s="2935"/>
      <c r="D24" s="3219"/>
      <c r="E24" s="730" t="s">
        <v>3293</v>
      </c>
      <c r="F24" s="727"/>
      <c r="G24" s="183" t="s">
        <v>3289</v>
      </c>
      <c r="H24" s="736">
        <v>1017</v>
      </c>
      <c r="I24" s="183" t="s">
        <v>3294</v>
      </c>
      <c r="J24" s="183" t="s">
        <v>106</v>
      </c>
      <c r="K24" s="363">
        <v>1017</v>
      </c>
      <c r="L24" s="1661">
        <v>1</v>
      </c>
      <c r="M24" s="363">
        <v>1662</v>
      </c>
      <c r="N24" s="1661">
        <v>1</v>
      </c>
      <c r="O24" s="3215"/>
      <c r="P24" s="1669">
        <v>8180087042</v>
      </c>
      <c r="Q24" s="1669">
        <v>11400473653</v>
      </c>
      <c r="R24" s="1669">
        <v>4796953515</v>
      </c>
      <c r="S24" s="1669">
        <v>2305699422</v>
      </c>
      <c r="T24" s="861">
        <f>+R24/Q24</f>
        <v>0.42076791377327522</v>
      </c>
      <c r="U24" s="861">
        <f>+S24/R24</f>
        <v>0.48065911307877246</v>
      </c>
      <c r="V24" s="859">
        <v>45309</v>
      </c>
      <c r="W24" s="859">
        <v>45657</v>
      </c>
      <c r="X24" s="320" t="s">
        <v>5452</v>
      </c>
      <c r="Y24" s="3220"/>
    </row>
    <row r="25" spans="1:25" ht="25.5">
      <c r="A25" s="1666"/>
      <c r="B25" s="725">
        <v>52010020002</v>
      </c>
      <c r="C25" s="725" t="s">
        <v>103</v>
      </c>
      <c r="D25" s="502" t="s">
        <v>3295</v>
      </c>
      <c r="E25" s="726"/>
      <c r="F25" s="736"/>
      <c r="G25" s="482"/>
      <c r="H25" s="736">
        <f>+H27</f>
        <v>12625</v>
      </c>
      <c r="I25" s="364"/>
      <c r="J25" s="364"/>
      <c r="K25" s="607"/>
      <c r="L25" s="1667"/>
      <c r="M25" s="363"/>
      <c r="N25" s="1661"/>
      <c r="O25" s="714"/>
      <c r="P25" s="735"/>
      <c r="Q25" s="860"/>
      <c r="R25" s="860"/>
      <c r="S25" s="860"/>
      <c r="T25" s="860"/>
      <c r="U25" s="860"/>
      <c r="V25" s="859"/>
      <c r="W25" s="859"/>
      <c r="X25" s="320"/>
      <c r="Y25" s="1668"/>
    </row>
    <row r="26" spans="1:25" ht="16.5" customHeight="1">
      <c r="A26" s="3213">
        <v>4161</v>
      </c>
      <c r="B26" s="2936"/>
      <c r="C26" s="2936" t="s">
        <v>109</v>
      </c>
      <c r="D26" s="2973" t="s">
        <v>3296</v>
      </c>
      <c r="E26" s="730" t="s">
        <v>3297</v>
      </c>
      <c r="F26" s="736"/>
      <c r="G26" s="482"/>
      <c r="H26" s="736"/>
      <c r="I26" s="486"/>
      <c r="J26" s="486"/>
      <c r="K26" s="363">
        <f>SUM(K27)</f>
        <v>12625</v>
      </c>
      <c r="L26" s="1661">
        <f>SUM(L27:L27)</f>
        <v>1</v>
      </c>
      <c r="M26" s="363">
        <f>SUM(M27)</f>
        <v>2146</v>
      </c>
      <c r="N26" s="1661">
        <f>SUM(N27)</f>
        <v>0.16998019801980199</v>
      </c>
      <c r="O26" s="3215">
        <f>+IF(Q26&gt;0,N26,"na")</f>
        <v>0.16998019801980199</v>
      </c>
      <c r="P26" s="1669">
        <f>SUM(P27:P27)</f>
        <v>3714814250</v>
      </c>
      <c r="Q26" s="1669">
        <f t="shared" ref="Q26:S26" si="4">SUM(Q27:Q27)</f>
        <v>4844526250</v>
      </c>
      <c r="R26" s="1669">
        <f t="shared" si="4"/>
        <v>2562543000</v>
      </c>
      <c r="S26" s="1669">
        <f t="shared" si="4"/>
        <v>1195959999</v>
      </c>
      <c r="T26" s="861">
        <f>+R26/Q26</f>
        <v>0.5289563659604487</v>
      </c>
      <c r="U26" s="861">
        <f>+S26/R26</f>
        <v>0.46670826557837275</v>
      </c>
      <c r="V26" s="860"/>
      <c r="W26" s="860"/>
      <c r="X26" s="320"/>
      <c r="Y26" s="3220" t="s">
        <v>3292</v>
      </c>
    </row>
    <row r="27" spans="1:25" ht="148.5">
      <c r="A27" s="3213"/>
      <c r="B27" s="2936"/>
      <c r="C27" s="2936"/>
      <c r="D27" s="2973"/>
      <c r="E27" s="730" t="s">
        <v>3298</v>
      </c>
      <c r="F27" s="736"/>
      <c r="G27" s="482" t="s">
        <v>3295</v>
      </c>
      <c r="H27" s="736">
        <v>12625</v>
      </c>
      <c r="I27" s="486" t="s">
        <v>3299</v>
      </c>
      <c r="J27" s="486" t="s">
        <v>106</v>
      </c>
      <c r="K27" s="363">
        <v>12625</v>
      </c>
      <c r="L27" s="1661">
        <v>1</v>
      </c>
      <c r="M27" s="363">
        <v>2146</v>
      </c>
      <c r="N27" s="1661">
        <f>+M27/K27</f>
        <v>0.16998019801980199</v>
      </c>
      <c r="O27" s="3215"/>
      <c r="P27" s="1669">
        <v>3714814250</v>
      </c>
      <c r="Q27" s="1669">
        <v>4844526250</v>
      </c>
      <c r="R27" s="1669">
        <v>2562543000</v>
      </c>
      <c r="S27" s="1669">
        <v>1195959999</v>
      </c>
      <c r="T27" s="861">
        <f>+R27/Q27</f>
        <v>0.5289563659604487</v>
      </c>
      <c r="U27" s="861">
        <f>+S27/R27</f>
        <v>0.46670826557837275</v>
      </c>
      <c r="V27" s="859">
        <v>45352</v>
      </c>
      <c r="W27" s="859">
        <v>45657</v>
      </c>
      <c r="X27" s="320" t="s">
        <v>5453</v>
      </c>
      <c r="Y27" s="3220"/>
    </row>
    <row r="28" spans="1:25">
      <c r="A28" s="1676"/>
      <c r="B28" s="511">
        <v>5201003</v>
      </c>
      <c r="C28" s="511" t="s">
        <v>102</v>
      </c>
      <c r="D28" s="512" t="s">
        <v>3300</v>
      </c>
      <c r="E28" s="718"/>
      <c r="F28" s="736"/>
      <c r="G28" s="482"/>
      <c r="H28" s="727"/>
      <c r="I28" s="361"/>
      <c r="J28" s="361"/>
      <c r="K28" s="719"/>
      <c r="L28" s="1664"/>
      <c r="M28" s="363"/>
      <c r="N28" s="1661"/>
      <c r="O28" s="714"/>
      <c r="P28" s="739"/>
      <c r="Q28" s="860"/>
      <c r="R28" s="860"/>
      <c r="S28" s="860"/>
      <c r="T28" s="860"/>
      <c r="U28" s="860"/>
      <c r="V28" s="859"/>
      <c r="W28" s="859"/>
      <c r="X28" s="320"/>
      <c r="Y28" s="1677"/>
    </row>
    <row r="29" spans="1:25" ht="25.5">
      <c r="A29" s="1666"/>
      <c r="B29" s="725">
        <v>52010030002</v>
      </c>
      <c r="C29" s="725" t="s">
        <v>103</v>
      </c>
      <c r="D29" s="502" t="s">
        <v>3301</v>
      </c>
      <c r="E29" s="726"/>
      <c r="F29" s="727"/>
      <c r="G29" s="486"/>
      <c r="H29" s="736">
        <f>+H32</f>
        <v>6</v>
      </c>
      <c r="I29" s="364"/>
      <c r="J29" s="364"/>
      <c r="K29" s="607"/>
      <c r="L29" s="1667"/>
      <c r="M29" s="363"/>
      <c r="N29" s="1661"/>
      <c r="O29" s="714"/>
      <c r="P29" s="735"/>
      <c r="Q29" s="860"/>
      <c r="R29" s="860"/>
      <c r="S29" s="860"/>
      <c r="T29" s="860"/>
      <c r="U29" s="860"/>
      <c r="V29" s="859"/>
      <c r="W29" s="859"/>
      <c r="X29" s="320"/>
      <c r="Y29" s="1668"/>
    </row>
    <row r="30" spans="1:25" ht="16.5" customHeight="1">
      <c r="A30" s="3213">
        <v>4161</v>
      </c>
      <c r="B30" s="3218"/>
      <c r="C30" s="2935" t="s">
        <v>109</v>
      </c>
      <c r="D30" s="3219" t="s">
        <v>3302</v>
      </c>
      <c r="E30" s="513" t="s">
        <v>3303</v>
      </c>
      <c r="F30" s="727"/>
      <c r="G30" s="482"/>
      <c r="H30" s="736"/>
      <c r="I30" s="486"/>
      <c r="J30" s="486"/>
      <c r="K30" s="727">
        <f>SUM(K32)</f>
        <v>6</v>
      </c>
      <c r="L30" s="1661">
        <f>SUM(L31:L32)</f>
        <v>1</v>
      </c>
      <c r="M30" s="363">
        <f>SUM(M31:M32)</f>
        <v>4</v>
      </c>
      <c r="N30" s="1661">
        <f>SUM(N31:N32)</f>
        <v>0.67</v>
      </c>
      <c r="O30" s="3221">
        <f>+IF(Q30&gt;0,N30,"na")</f>
        <v>0.67</v>
      </c>
      <c r="P30" s="1669">
        <f>SUM(P31:P32)</f>
        <v>560670000</v>
      </c>
      <c r="Q30" s="1669">
        <f t="shared" ref="Q30:S30" si="5">SUM(Q31:Q32)</f>
        <v>560670000</v>
      </c>
      <c r="R30" s="1669">
        <f t="shared" si="5"/>
        <v>489330000</v>
      </c>
      <c r="S30" s="1669">
        <f t="shared" si="5"/>
        <v>163110000</v>
      </c>
      <c r="T30" s="861">
        <f>+R30/Q30</f>
        <v>0.87275937717373853</v>
      </c>
      <c r="U30" s="861">
        <v>0</v>
      </c>
      <c r="V30" s="860"/>
      <c r="W30" s="860"/>
      <c r="X30" s="320"/>
      <c r="Y30" s="3220" t="s">
        <v>3304</v>
      </c>
    </row>
    <row r="31" spans="1:25" ht="27">
      <c r="A31" s="3213"/>
      <c r="B31" s="3218"/>
      <c r="C31" s="2935"/>
      <c r="D31" s="3219"/>
      <c r="E31" s="730" t="s">
        <v>3305</v>
      </c>
      <c r="F31" s="727"/>
      <c r="G31" s="482"/>
      <c r="H31" s="727"/>
      <c r="I31" s="486" t="s">
        <v>3306</v>
      </c>
      <c r="J31" s="486" t="s">
        <v>3307</v>
      </c>
      <c r="K31" s="363">
        <v>2</v>
      </c>
      <c r="L31" s="1661">
        <v>0.1</v>
      </c>
      <c r="M31" s="363">
        <v>0</v>
      </c>
      <c r="N31" s="1661">
        <v>0</v>
      </c>
      <c r="O31" s="3222"/>
      <c r="P31" s="1669">
        <v>21374732</v>
      </c>
      <c r="Q31" s="1669">
        <v>21374732</v>
      </c>
      <c r="R31" s="1669">
        <v>0</v>
      </c>
      <c r="S31" s="1669" t="s">
        <v>5449</v>
      </c>
      <c r="T31" s="861">
        <v>0</v>
      </c>
      <c r="U31" s="861">
        <v>0</v>
      </c>
      <c r="V31" s="859"/>
      <c r="W31" s="859"/>
      <c r="X31" s="320"/>
      <c r="Y31" s="3220"/>
    </row>
    <row r="32" spans="1:25" ht="135">
      <c r="A32" s="3213"/>
      <c r="B32" s="3218"/>
      <c r="C32" s="2935"/>
      <c r="D32" s="3219"/>
      <c r="E32" s="730" t="s">
        <v>3308</v>
      </c>
      <c r="F32" s="727"/>
      <c r="G32" s="482" t="s">
        <v>3301</v>
      </c>
      <c r="H32" s="727">
        <v>6</v>
      </c>
      <c r="I32" s="486" t="s">
        <v>3309</v>
      </c>
      <c r="J32" s="486" t="s">
        <v>3310</v>
      </c>
      <c r="K32" s="363">
        <v>6</v>
      </c>
      <c r="L32" s="1661">
        <v>0.9</v>
      </c>
      <c r="M32" s="363">
        <v>4</v>
      </c>
      <c r="N32" s="1661">
        <v>0.67</v>
      </c>
      <c r="O32" s="3222"/>
      <c r="P32" s="1669">
        <v>539295268</v>
      </c>
      <c r="Q32" s="1669">
        <v>539295268</v>
      </c>
      <c r="R32" s="1669">
        <v>489330000</v>
      </c>
      <c r="S32" s="1669">
        <v>163110000</v>
      </c>
      <c r="T32" s="861">
        <f>+R32/Q32</f>
        <v>0.90735081324689093</v>
      </c>
      <c r="U32" s="861">
        <v>0</v>
      </c>
      <c r="V32" s="859">
        <v>45383</v>
      </c>
      <c r="W32" s="859">
        <v>45657</v>
      </c>
      <c r="X32" s="320" t="s">
        <v>5454</v>
      </c>
      <c r="Y32" s="3220"/>
    </row>
    <row r="33" spans="1:25" ht="25.5">
      <c r="A33" s="1666"/>
      <c r="B33" s="725">
        <v>52010030003</v>
      </c>
      <c r="C33" s="725" t="s">
        <v>103</v>
      </c>
      <c r="D33" s="502" t="s">
        <v>3311</v>
      </c>
      <c r="E33" s="726"/>
      <c r="F33" s="727"/>
      <c r="G33" s="486"/>
      <c r="H33" s="727">
        <f>+H35</f>
        <v>1</v>
      </c>
      <c r="I33" s="364"/>
      <c r="J33" s="364"/>
      <c r="K33" s="607"/>
      <c r="L33" s="1667"/>
      <c r="M33" s="363"/>
      <c r="N33" s="1661"/>
      <c r="O33" s="714"/>
      <c r="P33" s="735"/>
      <c r="Q33" s="860"/>
      <c r="R33" s="860"/>
      <c r="S33" s="860"/>
      <c r="T33" s="860"/>
      <c r="U33" s="860"/>
      <c r="V33" s="859"/>
      <c r="W33" s="859"/>
      <c r="X33" s="320"/>
      <c r="Y33" s="1668"/>
    </row>
    <row r="34" spans="1:25" ht="16.5" customHeight="1">
      <c r="A34" s="3213">
        <v>4161</v>
      </c>
      <c r="B34" s="3218"/>
      <c r="C34" s="2935" t="s">
        <v>109</v>
      </c>
      <c r="D34" s="3219" t="s">
        <v>3312</v>
      </c>
      <c r="E34" s="513" t="s">
        <v>3313</v>
      </c>
      <c r="F34" s="727"/>
      <c r="G34" s="482"/>
      <c r="H34" s="727"/>
      <c r="I34" s="486"/>
      <c r="J34" s="486"/>
      <c r="K34" s="727">
        <f>SUM(K35)</f>
        <v>1</v>
      </c>
      <c r="L34" s="1661">
        <f>SUM(L35:L35)</f>
        <v>1</v>
      </c>
      <c r="M34" s="363">
        <f>SUM(M35)</f>
        <v>0</v>
      </c>
      <c r="N34" s="1661">
        <f>SUM(N35)</f>
        <v>0.4</v>
      </c>
      <c r="O34" s="3215">
        <f>+IF(Q34&gt;0,N34,"na")</f>
        <v>0.4</v>
      </c>
      <c r="P34" s="1669">
        <f>SUM(P35:P35)</f>
        <v>1126997900</v>
      </c>
      <c r="Q34" s="1669">
        <f t="shared" ref="Q34:S34" si="6">SUM(Q35:Q35)</f>
        <v>3326133805</v>
      </c>
      <c r="R34" s="1669">
        <f t="shared" si="6"/>
        <v>440012000</v>
      </c>
      <c r="S34" s="1669">
        <f t="shared" si="6"/>
        <v>123418000</v>
      </c>
      <c r="T34" s="861">
        <f>+R34/Q34</f>
        <v>0.13228932622570788</v>
      </c>
      <c r="U34" s="861">
        <f>+S34/R34</f>
        <v>0.28048780487804881</v>
      </c>
      <c r="V34" s="860"/>
      <c r="W34" s="860"/>
      <c r="X34" s="320"/>
      <c r="Y34" s="3220" t="s">
        <v>3304</v>
      </c>
    </row>
    <row r="35" spans="1:25" ht="108">
      <c r="A35" s="3213"/>
      <c r="B35" s="3218"/>
      <c r="C35" s="2935"/>
      <c r="D35" s="3219"/>
      <c r="E35" s="730" t="s">
        <v>3314</v>
      </c>
      <c r="F35" s="727"/>
      <c r="G35" s="482" t="s">
        <v>3311</v>
      </c>
      <c r="H35" s="727">
        <v>1</v>
      </c>
      <c r="I35" s="486" t="s">
        <v>3315</v>
      </c>
      <c r="J35" s="486" t="s">
        <v>3316</v>
      </c>
      <c r="K35" s="363">
        <v>1</v>
      </c>
      <c r="L35" s="1661">
        <v>1</v>
      </c>
      <c r="M35" s="363">
        <v>0</v>
      </c>
      <c r="N35" s="1661">
        <v>0.4</v>
      </c>
      <c r="O35" s="3215"/>
      <c r="P35" s="1669">
        <v>1126997900</v>
      </c>
      <c r="Q35" s="1669">
        <v>3326133805</v>
      </c>
      <c r="R35" s="1669">
        <v>440012000</v>
      </c>
      <c r="S35" s="1669">
        <v>123418000</v>
      </c>
      <c r="T35" s="861">
        <f>+R35/Q35</f>
        <v>0.13228932622570788</v>
      </c>
      <c r="U35" s="861">
        <f>+S35/R35</f>
        <v>0.28048780487804881</v>
      </c>
      <c r="V35" s="859">
        <v>45505</v>
      </c>
      <c r="W35" s="859">
        <v>45657</v>
      </c>
      <c r="X35" s="320" t="s">
        <v>3317</v>
      </c>
      <c r="Y35" s="3220"/>
    </row>
    <row r="36" spans="1:25">
      <c r="A36" s="1666"/>
      <c r="B36" s="725">
        <v>52010030004</v>
      </c>
      <c r="C36" s="725" t="s">
        <v>103</v>
      </c>
      <c r="D36" s="502" t="s">
        <v>3318</v>
      </c>
      <c r="E36" s="726"/>
      <c r="F36" s="736"/>
      <c r="G36" s="482"/>
      <c r="H36" s="727">
        <f>+H38+H40+H42+H46+H48+H50</f>
        <v>6</v>
      </c>
      <c r="I36" s="364"/>
      <c r="J36" s="364"/>
      <c r="K36" s="607"/>
      <c r="L36" s="1667"/>
      <c r="M36" s="363"/>
      <c r="N36" s="1661"/>
      <c r="O36" s="714"/>
      <c r="P36" s="735"/>
      <c r="Q36" s="860"/>
      <c r="R36" s="860"/>
      <c r="S36" s="860"/>
      <c r="T36" s="860"/>
      <c r="U36" s="860"/>
      <c r="V36" s="859"/>
      <c r="W36" s="859"/>
      <c r="X36" s="320"/>
      <c r="Y36" s="1668"/>
    </row>
    <row r="37" spans="1:25" ht="16.5" customHeight="1">
      <c r="A37" s="3223">
        <v>4161</v>
      </c>
      <c r="B37" s="2936"/>
      <c r="C37" s="2936" t="s">
        <v>109</v>
      </c>
      <c r="D37" s="3224" t="s">
        <v>3319</v>
      </c>
      <c r="E37" s="730" t="s">
        <v>3320</v>
      </c>
      <c r="F37" s="736"/>
      <c r="G37" s="183"/>
      <c r="H37" s="727"/>
      <c r="I37" s="486"/>
      <c r="J37" s="486"/>
      <c r="K37" s="727">
        <f>SUM(K38)</f>
        <v>1</v>
      </c>
      <c r="L37" s="1661">
        <f>SUM(L38:L38)</f>
        <v>1</v>
      </c>
      <c r="M37" s="363">
        <f>SUM(M38)</f>
        <v>0</v>
      </c>
      <c r="N37" s="1661">
        <f>SUM(N38)</f>
        <v>0.35</v>
      </c>
      <c r="O37" s="3215">
        <f>+IF(Q37&gt;0,N37,"na")</f>
        <v>0.35</v>
      </c>
      <c r="P37" s="1669">
        <f>SUM(P38:P38)</f>
        <v>169420000</v>
      </c>
      <c r="Q37" s="1669">
        <f t="shared" ref="Q37:S37" si="7">SUM(Q38:Q38)</f>
        <v>470246692</v>
      </c>
      <c r="R37" s="1669">
        <f t="shared" si="7"/>
        <v>85015263</v>
      </c>
      <c r="S37" s="1669">
        <f t="shared" si="7"/>
        <v>2615609</v>
      </c>
      <c r="T37" s="861">
        <f t="shared" ref="T37:T50" si="8">+R37/Q37</f>
        <v>0.18078864656851218</v>
      </c>
      <c r="U37" s="861">
        <v>0</v>
      </c>
      <c r="V37" s="860"/>
      <c r="W37" s="860"/>
      <c r="X37" s="320"/>
      <c r="Y37" s="3220" t="s">
        <v>3304</v>
      </c>
    </row>
    <row r="38" spans="1:25" ht="67.5">
      <c r="A38" s="3223"/>
      <c r="B38" s="2936"/>
      <c r="C38" s="2936"/>
      <c r="D38" s="3224"/>
      <c r="E38" s="730" t="s">
        <v>3321</v>
      </c>
      <c r="F38" s="727"/>
      <c r="G38" s="482" t="s">
        <v>3318</v>
      </c>
      <c r="H38" s="727">
        <v>1</v>
      </c>
      <c r="I38" s="486" t="s">
        <v>3322</v>
      </c>
      <c r="J38" s="486" t="s">
        <v>3316</v>
      </c>
      <c r="K38" s="363">
        <v>1</v>
      </c>
      <c r="L38" s="1661">
        <v>1</v>
      </c>
      <c r="M38" s="363">
        <v>0</v>
      </c>
      <c r="N38" s="1661">
        <v>0.35</v>
      </c>
      <c r="O38" s="3215"/>
      <c r="P38" s="1669">
        <v>169420000</v>
      </c>
      <c r="Q38" s="1669">
        <v>470246692</v>
      </c>
      <c r="R38" s="1669">
        <v>85015263</v>
      </c>
      <c r="S38" s="1669">
        <v>2615609</v>
      </c>
      <c r="T38" s="861">
        <f t="shared" si="8"/>
        <v>0.18078864656851218</v>
      </c>
      <c r="U38" s="861">
        <v>0</v>
      </c>
      <c r="V38" s="859">
        <v>45323</v>
      </c>
      <c r="W38" s="859">
        <v>45657</v>
      </c>
      <c r="X38" s="320" t="s">
        <v>5455</v>
      </c>
      <c r="Y38" s="3220"/>
    </row>
    <row r="39" spans="1:25" ht="16.5" customHeight="1">
      <c r="A39" s="3213">
        <v>4161</v>
      </c>
      <c r="B39" s="3214"/>
      <c r="C39" s="3214" t="s">
        <v>109</v>
      </c>
      <c r="D39" s="3224" t="s">
        <v>3323</v>
      </c>
      <c r="E39" s="730" t="s">
        <v>3324</v>
      </c>
      <c r="F39" s="727"/>
      <c r="G39" s="183"/>
      <c r="H39" s="727"/>
      <c r="I39" s="486"/>
      <c r="J39" s="486"/>
      <c r="K39" s="727">
        <f>SUM(K40)</f>
        <v>1</v>
      </c>
      <c r="L39" s="1661">
        <f>SUM(L40:L40)</f>
        <v>1</v>
      </c>
      <c r="M39" s="363">
        <f>SUM(M40)</f>
        <v>0</v>
      </c>
      <c r="N39" s="1661">
        <f>SUM(N40)</f>
        <v>0.35</v>
      </c>
      <c r="O39" s="3215">
        <f>+IF(Q39&gt;0,N39,"na")</f>
        <v>0.35</v>
      </c>
      <c r="P39" s="1669">
        <f>SUM(P40:P40)</f>
        <v>26644694984</v>
      </c>
      <c r="Q39" s="1669">
        <f t="shared" ref="Q39:S39" si="9">SUM(Q40:Q40)</f>
        <v>7236328366</v>
      </c>
      <c r="R39" s="1669">
        <f t="shared" si="9"/>
        <v>4795445911</v>
      </c>
      <c r="S39" s="1669">
        <f t="shared" si="9"/>
        <v>1030858053</v>
      </c>
      <c r="T39" s="861">
        <f t="shared" si="8"/>
        <v>0.66269047899090316</v>
      </c>
      <c r="U39" s="861">
        <v>0</v>
      </c>
      <c r="V39" s="860"/>
      <c r="W39" s="860"/>
      <c r="X39" s="320"/>
      <c r="Y39" s="3220" t="s">
        <v>3304</v>
      </c>
    </row>
    <row r="40" spans="1:25" ht="67.5">
      <c r="A40" s="3213"/>
      <c r="B40" s="3214"/>
      <c r="C40" s="3214"/>
      <c r="D40" s="3224"/>
      <c r="E40" s="730" t="s">
        <v>3325</v>
      </c>
      <c r="F40" s="727"/>
      <c r="G40" s="482" t="s">
        <v>3318</v>
      </c>
      <c r="H40" s="727">
        <v>1</v>
      </c>
      <c r="I40" s="486" t="s">
        <v>3322</v>
      </c>
      <c r="J40" s="486" t="s">
        <v>3316</v>
      </c>
      <c r="K40" s="363">
        <v>1</v>
      </c>
      <c r="L40" s="1661">
        <v>1</v>
      </c>
      <c r="M40" s="363">
        <v>0</v>
      </c>
      <c r="N40" s="1661">
        <v>0.35</v>
      </c>
      <c r="O40" s="3215"/>
      <c r="P40" s="1669">
        <v>26644694984</v>
      </c>
      <c r="Q40" s="1669">
        <v>7236328366</v>
      </c>
      <c r="R40" s="1669">
        <v>4795445911</v>
      </c>
      <c r="S40" s="1669">
        <v>1030858053</v>
      </c>
      <c r="T40" s="861">
        <f t="shared" si="8"/>
        <v>0.66269047899090316</v>
      </c>
      <c r="U40" s="861">
        <v>0</v>
      </c>
      <c r="V40" s="859">
        <v>45309</v>
      </c>
      <c r="W40" s="859">
        <v>45657</v>
      </c>
      <c r="X40" s="320" t="s">
        <v>5456</v>
      </c>
      <c r="Y40" s="3220"/>
    </row>
    <row r="41" spans="1:25" ht="16.5" customHeight="1">
      <c r="A41" s="3223">
        <v>4161</v>
      </c>
      <c r="B41" s="2936"/>
      <c r="C41" s="2936" t="s">
        <v>109</v>
      </c>
      <c r="D41" s="3224" t="s">
        <v>3326</v>
      </c>
      <c r="E41" s="730" t="s">
        <v>3327</v>
      </c>
      <c r="F41" s="727"/>
      <c r="G41" s="482"/>
      <c r="H41" s="727"/>
      <c r="I41" s="486"/>
      <c r="J41" s="486"/>
      <c r="K41" s="727">
        <f>SUM(K42)</f>
        <v>1</v>
      </c>
      <c r="L41" s="1661">
        <f>SUM(L42:L42)</f>
        <v>1</v>
      </c>
      <c r="M41" s="363">
        <f>SUM(M42)</f>
        <v>0</v>
      </c>
      <c r="N41" s="1661">
        <f>SUM(N42)</f>
        <v>0.35</v>
      </c>
      <c r="O41" s="3215">
        <f>+IF(Q41&gt;0,N41,"na")</f>
        <v>0.35</v>
      </c>
      <c r="P41" s="1669">
        <f>SUM(P42:P42)</f>
        <v>300000000</v>
      </c>
      <c r="Q41" s="1669">
        <f t="shared" ref="Q41:S41" si="10">SUM(Q42:Q42)</f>
        <v>649998719</v>
      </c>
      <c r="R41" s="1669">
        <f t="shared" si="10"/>
        <v>183381709</v>
      </c>
      <c r="S41" s="1669">
        <f t="shared" si="10"/>
        <v>12578151</v>
      </c>
      <c r="T41" s="861">
        <f t="shared" si="8"/>
        <v>0.28212626215960279</v>
      </c>
      <c r="U41" s="861">
        <v>0</v>
      </c>
      <c r="V41" s="860"/>
      <c r="W41" s="860"/>
      <c r="X41" s="320"/>
      <c r="Y41" s="3225" t="s">
        <v>3304</v>
      </c>
    </row>
    <row r="42" spans="1:25" ht="67.5">
      <c r="A42" s="3223"/>
      <c r="B42" s="2936"/>
      <c r="C42" s="2936"/>
      <c r="D42" s="3224"/>
      <c r="E42" s="730" t="s">
        <v>3328</v>
      </c>
      <c r="F42" s="727"/>
      <c r="G42" s="482" t="s">
        <v>3318</v>
      </c>
      <c r="H42" s="727">
        <v>1</v>
      </c>
      <c r="I42" s="486" t="s">
        <v>3322</v>
      </c>
      <c r="J42" s="486" t="s">
        <v>3329</v>
      </c>
      <c r="K42" s="363">
        <v>1</v>
      </c>
      <c r="L42" s="1661">
        <v>1</v>
      </c>
      <c r="M42" s="363">
        <v>0</v>
      </c>
      <c r="N42" s="1661">
        <v>0.35</v>
      </c>
      <c r="O42" s="3215"/>
      <c r="P42" s="1669">
        <v>300000000</v>
      </c>
      <c r="Q42" s="1669">
        <v>649998719</v>
      </c>
      <c r="R42" s="1669">
        <v>183381709</v>
      </c>
      <c r="S42" s="1669">
        <v>12578151</v>
      </c>
      <c r="T42" s="861">
        <f t="shared" si="8"/>
        <v>0.28212626215960279</v>
      </c>
      <c r="U42" s="861">
        <v>0</v>
      </c>
      <c r="V42" s="859">
        <v>45323</v>
      </c>
      <c r="W42" s="859">
        <v>45657</v>
      </c>
      <c r="X42" s="320" t="s">
        <v>5457</v>
      </c>
      <c r="Y42" s="3225"/>
    </row>
    <row r="43" spans="1:25" ht="16.5" customHeight="1">
      <c r="A43" s="3223">
        <v>4161</v>
      </c>
      <c r="B43" s="2936"/>
      <c r="C43" s="2936" t="s">
        <v>109</v>
      </c>
      <c r="D43" s="3224" t="s">
        <v>3330</v>
      </c>
      <c r="E43" s="730" t="s">
        <v>3331</v>
      </c>
      <c r="F43" s="727"/>
      <c r="G43" s="482"/>
      <c r="H43" s="727"/>
      <c r="I43" s="486"/>
      <c r="J43" s="486"/>
      <c r="K43" s="727">
        <f>SUM(K44)</f>
        <v>1</v>
      </c>
      <c r="L43" s="1661">
        <f>SUM(L44:L44)</f>
        <v>1</v>
      </c>
      <c r="M43" s="363">
        <f>SUM(M44)</f>
        <v>0</v>
      </c>
      <c r="N43" s="1661">
        <f>SUM(N44)</f>
        <v>0</v>
      </c>
      <c r="O43" s="3215">
        <f>+IF(Q43&gt;0,N43,"na")</f>
        <v>0</v>
      </c>
      <c r="P43" s="1669">
        <f>SUM(P44:P44)</f>
        <v>521181914</v>
      </c>
      <c r="Q43" s="1669">
        <f t="shared" ref="Q43:S43" si="11">SUM(Q44:Q44)</f>
        <v>521181914</v>
      </c>
      <c r="R43" s="1669">
        <f t="shared" si="11"/>
        <v>0</v>
      </c>
      <c r="S43" s="1669">
        <f t="shared" si="11"/>
        <v>0</v>
      </c>
      <c r="T43" s="861">
        <f t="shared" si="8"/>
        <v>0</v>
      </c>
      <c r="U43" s="861">
        <v>0</v>
      </c>
      <c r="V43" s="860"/>
      <c r="W43" s="860"/>
      <c r="X43" s="320"/>
      <c r="Y43" s="3220" t="s">
        <v>3304</v>
      </c>
    </row>
    <row r="44" spans="1:25" ht="67.5">
      <c r="A44" s="3223"/>
      <c r="B44" s="2936"/>
      <c r="C44" s="2936"/>
      <c r="D44" s="3224"/>
      <c r="E44" s="730" t="s">
        <v>3332</v>
      </c>
      <c r="F44" s="727"/>
      <c r="G44" s="482"/>
      <c r="H44" s="727"/>
      <c r="I44" s="486" t="s">
        <v>3333</v>
      </c>
      <c r="J44" s="486" t="s">
        <v>3316</v>
      </c>
      <c r="K44" s="363">
        <v>1</v>
      </c>
      <c r="L44" s="1661">
        <v>1</v>
      </c>
      <c r="M44" s="363">
        <v>0</v>
      </c>
      <c r="N44" s="1661">
        <v>0</v>
      </c>
      <c r="O44" s="3215"/>
      <c r="P44" s="1669">
        <v>521181914</v>
      </c>
      <c r="Q44" s="1669">
        <v>521181914</v>
      </c>
      <c r="R44" s="1669" t="s">
        <v>5449</v>
      </c>
      <c r="S44" s="1669" t="s">
        <v>5449</v>
      </c>
      <c r="T44" s="861">
        <v>0</v>
      </c>
      <c r="U44" s="861">
        <v>0</v>
      </c>
      <c r="V44" s="859"/>
      <c r="W44" s="859"/>
      <c r="X44" s="320"/>
      <c r="Y44" s="3220"/>
    </row>
    <row r="45" spans="1:25" ht="16.5" customHeight="1">
      <c r="A45" s="3223">
        <v>4161</v>
      </c>
      <c r="B45" s="2936"/>
      <c r="C45" s="2936" t="s">
        <v>109</v>
      </c>
      <c r="D45" s="3224" t="s">
        <v>3334</v>
      </c>
      <c r="E45" s="730" t="s">
        <v>3335</v>
      </c>
      <c r="F45" s="727"/>
      <c r="G45" s="183"/>
      <c r="H45" s="727"/>
      <c r="I45" s="486"/>
      <c r="J45" s="486"/>
      <c r="K45" s="727">
        <f>SUM(K46)</f>
        <v>1</v>
      </c>
      <c r="L45" s="1661">
        <f>SUM(L46)</f>
        <v>1</v>
      </c>
      <c r="M45" s="363">
        <f>SUM(M46)</f>
        <v>0</v>
      </c>
      <c r="N45" s="1661">
        <f>SUM(N46)</f>
        <v>0.3</v>
      </c>
      <c r="O45" s="3215">
        <f>+IF(Q45&gt;0,N45,"na")</f>
        <v>0.3</v>
      </c>
      <c r="P45" s="1669">
        <f>SUM(P46:P46)</f>
        <v>1500000000</v>
      </c>
      <c r="Q45" s="1669">
        <f t="shared" ref="Q45:S45" si="12">SUM(Q46:Q46)</f>
        <v>1849998719</v>
      </c>
      <c r="R45" s="1669">
        <f t="shared" si="12"/>
        <v>875000000</v>
      </c>
      <c r="S45" s="1669">
        <f t="shared" si="12"/>
        <v>15492306</v>
      </c>
      <c r="T45" s="861">
        <f t="shared" si="8"/>
        <v>0.47297330047502589</v>
      </c>
      <c r="U45" s="861">
        <v>0</v>
      </c>
      <c r="V45" s="860"/>
      <c r="W45" s="860"/>
      <c r="X45" s="320"/>
      <c r="Y45" s="3216" t="s">
        <v>3304</v>
      </c>
    </row>
    <row r="46" spans="1:25" ht="121.5">
      <c r="A46" s="3223"/>
      <c r="B46" s="2936"/>
      <c r="C46" s="2936"/>
      <c r="D46" s="3224"/>
      <c r="E46" s="730" t="s">
        <v>3336</v>
      </c>
      <c r="F46" s="727"/>
      <c r="G46" s="482" t="s">
        <v>3318</v>
      </c>
      <c r="H46" s="727">
        <v>1</v>
      </c>
      <c r="I46" s="486" t="s">
        <v>3322</v>
      </c>
      <c r="J46" s="486" t="s">
        <v>3337</v>
      </c>
      <c r="K46" s="363">
        <v>1</v>
      </c>
      <c r="L46" s="1661">
        <v>1</v>
      </c>
      <c r="M46" s="363">
        <v>0</v>
      </c>
      <c r="N46" s="1661">
        <v>0.3</v>
      </c>
      <c r="O46" s="3215"/>
      <c r="P46" s="1669">
        <v>1500000000</v>
      </c>
      <c r="Q46" s="1669">
        <v>1849998719</v>
      </c>
      <c r="R46" s="1669">
        <v>875000000</v>
      </c>
      <c r="S46" s="1669">
        <v>15492306</v>
      </c>
      <c r="T46" s="861">
        <f t="shared" si="8"/>
        <v>0.47297330047502589</v>
      </c>
      <c r="U46" s="861">
        <v>0</v>
      </c>
      <c r="V46" s="859">
        <v>45309</v>
      </c>
      <c r="W46" s="859">
        <v>45657</v>
      </c>
      <c r="X46" s="320" t="s">
        <v>5458</v>
      </c>
      <c r="Y46" s="3216"/>
    </row>
    <row r="47" spans="1:25" ht="16.5" customHeight="1">
      <c r="A47" s="3223">
        <v>4161</v>
      </c>
      <c r="B47" s="2936"/>
      <c r="C47" s="2936" t="s">
        <v>109</v>
      </c>
      <c r="D47" s="3224" t="s">
        <v>3338</v>
      </c>
      <c r="E47" s="730" t="s">
        <v>3339</v>
      </c>
      <c r="F47" s="727"/>
      <c r="G47" s="482"/>
      <c r="H47" s="727"/>
      <c r="I47" s="486"/>
      <c r="J47" s="486"/>
      <c r="K47" s="727">
        <f>SUM(K48)</f>
        <v>1</v>
      </c>
      <c r="L47" s="1661">
        <f>SUM(L48:L48)</f>
        <v>1</v>
      </c>
      <c r="M47" s="363">
        <f>SUM(M48)</f>
        <v>0</v>
      </c>
      <c r="N47" s="1661">
        <f>SUM(N48)</f>
        <v>0.3</v>
      </c>
      <c r="O47" s="3215">
        <f>+IF(Q47&gt;0,N47,"na")</f>
        <v>0.3</v>
      </c>
      <c r="P47" s="1669">
        <f>SUM(P48:P48)</f>
        <v>4499002992</v>
      </c>
      <c r="Q47" s="1669">
        <f t="shared" ref="Q47:S47" si="13">SUM(Q48:Q48)</f>
        <v>31372287197</v>
      </c>
      <c r="R47" s="1669">
        <f t="shared" si="13"/>
        <v>3897977320</v>
      </c>
      <c r="S47" s="1669">
        <f t="shared" si="13"/>
        <v>776492440</v>
      </c>
      <c r="T47" s="861">
        <f t="shared" si="8"/>
        <v>0.124249064007445</v>
      </c>
      <c r="U47" s="861">
        <f>+S47/R47</f>
        <v>0.19920393995519708</v>
      </c>
      <c r="V47" s="860"/>
      <c r="W47" s="860"/>
      <c r="X47" s="320"/>
      <c r="Y47" s="3220" t="s">
        <v>3304</v>
      </c>
    </row>
    <row r="48" spans="1:25" ht="108">
      <c r="A48" s="3223"/>
      <c r="B48" s="2936"/>
      <c r="C48" s="2936"/>
      <c r="D48" s="3224"/>
      <c r="E48" s="730" t="s">
        <v>3340</v>
      </c>
      <c r="F48" s="727"/>
      <c r="G48" s="482" t="s">
        <v>3318</v>
      </c>
      <c r="H48" s="727">
        <v>1</v>
      </c>
      <c r="I48" s="486" t="s">
        <v>3322</v>
      </c>
      <c r="J48" s="486" t="s">
        <v>3316</v>
      </c>
      <c r="K48" s="363">
        <v>1</v>
      </c>
      <c r="L48" s="1661">
        <v>1</v>
      </c>
      <c r="M48" s="363">
        <v>0</v>
      </c>
      <c r="N48" s="1661">
        <v>0.3</v>
      </c>
      <c r="O48" s="3215"/>
      <c r="P48" s="1669">
        <v>4499002992</v>
      </c>
      <c r="Q48" s="1669">
        <v>31372287197</v>
      </c>
      <c r="R48" s="1669">
        <v>3897977320</v>
      </c>
      <c r="S48" s="1669">
        <v>776492440</v>
      </c>
      <c r="T48" s="861">
        <f t="shared" si="8"/>
        <v>0.124249064007445</v>
      </c>
      <c r="U48" s="861">
        <f>+S48/R48</f>
        <v>0.19920393995519708</v>
      </c>
      <c r="V48" s="859">
        <v>45309</v>
      </c>
      <c r="W48" s="859">
        <v>45657</v>
      </c>
      <c r="X48" s="320" t="s">
        <v>5459</v>
      </c>
      <c r="Y48" s="3220"/>
    </row>
    <row r="49" spans="1:25" ht="16.5" customHeight="1">
      <c r="A49" s="3223">
        <v>4161</v>
      </c>
      <c r="B49" s="2936"/>
      <c r="C49" s="2936" t="s">
        <v>109</v>
      </c>
      <c r="D49" s="3224" t="s">
        <v>3341</v>
      </c>
      <c r="E49" s="730" t="s">
        <v>3342</v>
      </c>
      <c r="F49" s="727"/>
      <c r="G49" s="482"/>
      <c r="H49" s="727"/>
      <c r="I49" s="486"/>
      <c r="J49" s="486"/>
      <c r="K49" s="727">
        <f>SUM(K50)</f>
        <v>1</v>
      </c>
      <c r="L49" s="1661">
        <f>SUM(L50:L50)</f>
        <v>1</v>
      </c>
      <c r="M49" s="363">
        <f>SUM(M50)</f>
        <v>0</v>
      </c>
      <c r="N49" s="1661">
        <f>SUM(N50)</f>
        <v>0.4</v>
      </c>
      <c r="O49" s="3215">
        <f>+IF(Q49&gt;0,N49,"na")</f>
        <v>0.4</v>
      </c>
      <c r="P49" s="1669">
        <f>SUM(P50)</f>
        <v>22000000</v>
      </c>
      <c r="Q49" s="1669">
        <f t="shared" ref="Q49:S49" si="14">SUM(Q50)</f>
        <v>322826692</v>
      </c>
      <c r="R49" s="1669">
        <f t="shared" si="14"/>
        <v>18346194</v>
      </c>
      <c r="S49" s="1669">
        <f t="shared" si="14"/>
        <v>4293279</v>
      </c>
      <c r="T49" s="861">
        <f t="shared" si="8"/>
        <v>5.682985470111003E-2</v>
      </c>
      <c r="U49" s="861">
        <v>0</v>
      </c>
      <c r="V49" s="860"/>
      <c r="W49" s="860"/>
      <c r="X49" s="320"/>
      <c r="Y49" s="3220" t="s">
        <v>3304</v>
      </c>
    </row>
    <row r="50" spans="1:25" ht="67.5">
      <c r="A50" s="3223"/>
      <c r="B50" s="2936"/>
      <c r="C50" s="2936"/>
      <c r="D50" s="3224"/>
      <c r="E50" s="730" t="s">
        <v>3343</v>
      </c>
      <c r="F50" s="727"/>
      <c r="G50" s="482" t="s">
        <v>3318</v>
      </c>
      <c r="H50" s="727">
        <v>1</v>
      </c>
      <c r="I50" s="486" t="s">
        <v>3322</v>
      </c>
      <c r="J50" s="486" t="s">
        <v>3344</v>
      </c>
      <c r="K50" s="363">
        <v>1</v>
      </c>
      <c r="L50" s="1661">
        <v>1</v>
      </c>
      <c r="M50" s="363">
        <v>0</v>
      </c>
      <c r="N50" s="1661">
        <v>0.4</v>
      </c>
      <c r="O50" s="3215"/>
      <c r="P50" s="1669">
        <v>22000000</v>
      </c>
      <c r="Q50" s="1669">
        <v>322826692</v>
      </c>
      <c r="R50" s="1669">
        <v>18346194</v>
      </c>
      <c r="S50" s="1669">
        <v>4293279</v>
      </c>
      <c r="T50" s="861">
        <f t="shared" si="8"/>
        <v>5.682985470111003E-2</v>
      </c>
      <c r="U50" s="861">
        <v>0</v>
      </c>
      <c r="V50" s="859">
        <v>45323</v>
      </c>
      <c r="W50" s="859">
        <v>45657</v>
      </c>
      <c r="X50" s="320" t="s">
        <v>5460</v>
      </c>
      <c r="Y50" s="3220"/>
    </row>
    <row r="51" spans="1:25">
      <c r="A51" s="1666"/>
      <c r="B51" s="725">
        <v>52010030005</v>
      </c>
      <c r="C51" s="725" t="s">
        <v>103</v>
      </c>
      <c r="D51" s="502" t="s">
        <v>3345</v>
      </c>
      <c r="E51" s="726"/>
      <c r="F51" s="727"/>
      <c r="G51" s="486"/>
      <c r="H51" s="727">
        <f>+H53+H55</f>
        <v>5</v>
      </c>
      <c r="I51" s="364"/>
      <c r="J51" s="364"/>
      <c r="K51" s="607"/>
      <c r="L51" s="1667"/>
      <c r="M51" s="363"/>
      <c r="N51" s="1661"/>
      <c r="O51" s="714"/>
      <c r="P51" s="735"/>
      <c r="Q51" s="860"/>
      <c r="R51" s="860"/>
      <c r="S51" s="860"/>
      <c r="T51" s="860"/>
      <c r="U51" s="860"/>
      <c r="V51" s="859"/>
      <c r="W51" s="859"/>
      <c r="X51" s="320"/>
      <c r="Y51" s="1668"/>
    </row>
    <row r="52" spans="1:25" ht="16.5" customHeight="1">
      <c r="A52" s="3223">
        <v>4161</v>
      </c>
      <c r="B52" s="2936"/>
      <c r="C52" s="2936" t="s">
        <v>109</v>
      </c>
      <c r="D52" s="2973" t="s">
        <v>3346</v>
      </c>
      <c r="E52" s="730" t="s">
        <v>3347</v>
      </c>
      <c r="F52" s="727"/>
      <c r="G52" s="486"/>
      <c r="H52" s="727"/>
      <c r="I52" s="486"/>
      <c r="J52" s="486"/>
      <c r="K52" s="727">
        <f>SUM(K53)</f>
        <v>4</v>
      </c>
      <c r="L52" s="1661">
        <f>SUM(L53:L53)</f>
        <v>1</v>
      </c>
      <c r="M52" s="363">
        <f>SUM(M53)</f>
        <v>0</v>
      </c>
      <c r="N52" s="1661">
        <f>SUM(N53)</f>
        <v>0</v>
      </c>
      <c r="O52" s="3215">
        <f>+IF(Q52&gt;0,N52,"na")</f>
        <v>0</v>
      </c>
      <c r="P52" s="1669">
        <f>SUM(P53:P53)</f>
        <v>2100000000</v>
      </c>
      <c r="Q52" s="1669">
        <f t="shared" ref="Q52:S52" si="15">SUM(Q53:Q53)</f>
        <v>2100000000</v>
      </c>
      <c r="R52" s="1669">
        <f t="shared" si="15"/>
        <v>0</v>
      </c>
      <c r="S52" s="1669">
        <f t="shared" si="15"/>
        <v>0</v>
      </c>
      <c r="T52" s="861">
        <f>+R52/Q52</f>
        <v>0</v>
      </c>
      <c r="U52" s="861">
        <v>0</v>
      </c>
      <c r="V52" s="860"/>
      <c r="W52" s="860"/>
      <c r="X52" s="320"/>
      <c r="Y52" s="3220" t="s">
        <v>3304</v>
      </c>
    </row>
    <row r="53" spans="1:25" ht="67.5">
      <c r="A53" s="3223"/>
      <c r="B53" s="2936"/>
      <c r="C53" s="2936"/>
      <c r="D53" s="2973"/>
      <c r="E53" s="730" t="s">
        <v>3348</v>
      </c>
      <c r="F53" s="727"/>
      <c r="G53" s="486" t="s">
        <v>3345</v>
      </c>
      <c r="H53" s="727">
        <v>4</v>
      </c>
      <c r="I53" s="486" t="s">
        <v>5461</v>
      </c>
      <c r="J53" s="486" t="s">
        <v>3349</v>
      </c>
      <c r="K53" s="363">
        <v>4</v>
      </c>
      <c r="L53" s="1661">
        <v>1</v>
      </c>
      <c r="M53" s="363">
        <v>0</v>
      </c>
      <c r="N53" s="1661">
        <v>0</v>
      </c>
      <c r="O53" s="3215"/>
      <c r="P53" s="1669">
        <v>2100000000</v>
      </c>
      <c r="Q53" s="1669">
        <v>2100000000</v>
      </c>
      <c r="R53" s="1669" t="s">
        <v>5449</v>
      </c>
      <c r="S53" s="1669" t="s">
        <v>5449</v>
      </c>
      <c r="T53" s="861">
        <v>0</v>
      </c>
      <c r="U53" s="861">
        <v>0</v>
      </c>
      <c r="V53" s="859"/>
      <c r="W53" s="859"/>
      <c r="X53" s="320"/>
      <c r="Y53" s="3220"/>
    </row>
    <row r="54" spans="1:25" ht="16.5" customHeight="1">
      <c r="A54" s="3223">
        <v>4161</v>
      </c>
      <c r="B54" s="2936"/>
      <c r="C54" s="2936" t="s">
        <v>109</v>
      </c>
      <c r="D54" s="2973" t="s">
        <v>3350</v>
      </c>
      <c r="E54" s="730" t="s">
        <v>3351</v>
      </c>
      <c r="F54" s="727"/>
      <c r="G54" s="486"/>
      <c r="H54" s="727"/>
      <c r="I54" s="486"/>
      <c r="J54" s="486"/>
      <c r="K54" s="727">
        <f>SUM(K55)</f>
        <v>1</v>
      </c>
      <c r="L54" s="1661">
        <f>SUM(L55)</f>
        <v>1</v>
      </c>
      <c r="M54" s="363">
        <f>SUM(M55)</f>
        <v>0</v>
      </c>
      <c r="N54" s="1661">
        <f>SUM(N55)</f>
        <v>0</v>
      </c>
      <c r="O54" s="3215">
        <f>+IF(Q54&gt;0,N54,"na")</f>
        <v>0</v>
      </c>
      <c r="P54" s="1669">
        <f>SUM(P55)</f>
        <v>962475477</v>
      </c>
      <c r="Q54" s="1669">
        <f t="shared" ref="Q54:S54" si="16">SUM(Q55)</f>
        <v>962475477</v>
      </c>
      <c r="R54" s="1669">
        <f t="shared" si="16"/>
        <v>0</v>
      </c>
      <c r="S54" s="1669">
        <f t="shared" si="16"/>
        <v>0</v>
      </c>
      <c r="T54" s="861">
        <f>+R54/Q54</f>
        <v>0</v>
      </c>
      <c r="U54" s="861">
        <v>0</v>
      </c>
      <c r="V54" s="860"/>
      <c r="W54" s="860"/>
      <c r="X54" s="320"/>
      <c r="Y54" s="3220" t="s">
        <v>3304</v>
      </c>
    </row>
    <row r="55" spans="1:25" ht="54">
      <c r="A55" s="3223"/>
      <c r="B55" s="2936"/>
      <c r="C55" s="2936"/>
      <c r="D55" s="2973"/>
      <c r="E55" s="730" t="s">
        <v>3352</v>
      </c>
      <c r="F55" s="727"/>
      <c r="G55" s="486" t="s">
        <v>3345</v>
      </c>
      <c r="H55" s="727">
        <v>1</v>
      </c>
      <c r="I55" s="486" t="s">
        <v>3353</v>
      </c>
      <c r="J55" s="486" t="s">
        <v>3349</v>
      </c>
      <c r="K55" s="363">
        <v>1</v>
      </c>
      <c r="L55" s="1661">
        <v>1</v>
      </c>
      <c r="M55" s="363">
        <v>0</v>
      </c>
      <c r="N55" s="1661">
        <v>0</v>
      </c>
      <c r="O55" s="3215"/>
      <c r="P55" s="1669">
        <v>962475477</v>
      </c>
      <c r="Q55" s="1669">
        <v>962475477</v>
      </c>
      <c r="R55" s="1669" t="s">
        <v>5449</v>
      </c>
      <c r="S55" s="1669" t="s">
        <v>5449</v>
      </c>
      <c r="T55" s="861">
        <v>0</v>
      </c>
      <c r="U55" s="861">
        <v>0</v>
      </c>
      <c r="V55" s="859"/>
      <c r="W55" s="859"/>
      <c r="X55" s="320"/>
      <c r="Y55" s="3220"/>
    </row>
    <row r="56" spans="1:25" ht="25.5">
      <c r="A56" s="1666"/>
      <c r="B56" s="725">
        <v>52010030006</v>
      </c>
      <c r="C56" s="725" t="s">
        <v>103</v>
      </c>
      <c r="D56" s="502" t="s">
        <v>3354</v>
      </c>
      <c r="E56" s="726"/>
      <c r="F56" s="727"/>
      <c r="G56" s="486"/>
      <c r="H56" s="727">
        <f>+H58</f>
        <v>9</v>
      </c>
      <c r="I56" s="364"/>
      <c r="J56" s="364"/>
      <c r="K56" s="607"/>
      <c r="L56" s="1667"/>
      <c r="M56" s="363"/>
      <c r="N56" s="1661"/>
      <c r="O56" s="714"/>
      <c r="P56" s="735"/>
      <c r="Q56" s="860"/>
      <c r="R56" s="860"/>
      <c r="S56" s="860"/>
      <c r="T56" s="860"/>
      <c r="U56" s="860"/>
      <c r="V56" s="859"/>
      <c r="W56" s="859"/>
      <c r="X56" s="320"/>
      <c r="Y56" s="1668"/>
    </row>
    <row r="57" spans="1:25" ht="16.5" customHeight="1">
      <c r="A57" s="3223">
        <v>4161</v>
      </c>
      <c r="B57" s="2936"/>
      <c r="C57" s="2936" t="s">
        <v>109</v>
      </c>
      <c r="D57" s="2973" t="s">
        <v>3355</v>
      </c>
      <c r="E57" s="730" t="s">
        <v>3356</v>
      </c>
      <c r="F57" s="727"/>
      <c r="G57" s="183"/>
      <c r="H57" s="727"/>
      <c r="I57" s="486"/>
      <c r="J57" s="486"/>
      <c r="K57" s="363">
        <f>SUM(K58)</f>
        <v>9</v>
      </c>
      <c r="L57" s="1661">
        <f>SUM(L58:L58)</f>
        <v>1</v>
      </c>
      <c r="M57" s="363">
        <f>SUM(M58)</f>
        <v>5</v>
      </c>
      <c r="N57" s="1661">
        <f>SUM(N58)</f>
        <v>0.55555555555555558</v>
      </c>
      <c r="O57" s="3215">
        <f>+IF(Q57&gt;0,N57,"na")</f>
        <v>0.55555555555555558</v>
      </c>
      <c r="P57" s="1669">
        <f>SUM(P58)</f>
        <v>1089094000</v>
      </c>
      <c r="Q57" s="1669">
        <f t="shared" ref="Q57:S57" si="17">SUM(Q58)</f>
        <v>3918477957</v>
      </c>
      <c r="R57" s="1669">
        <f t="shared" si="17"/>
        <v>1341256000</v>
      </c>
      <c r="S57" s="1669">
        <f t="shared" si="17"/>
        <v>587128500</v>
      </c>
      <c r="T57" s="861">
        <f>+R57/Q57</f>
        <v>0.34229004596133294</v>
      </c>
      <c r="U57" s="861">
        <f>+S57/R57</f>
        <v>0.43774529247213062</v>
      </c>
      <c r="V57" s="860"/>
      <c r="W57" s="860"/>
      <c r="X57" s="320"/>
      <c r="Y57" s="3216" t="s">
        <v>3304</v>
      </c>
    </row>
    <row r="58" spans="1:25" ht="94.5">
      <c r="A58" s="3223"/>
      <c r="B58" s="2936"/>
      <c r="C58" s="2936"/>
      <c r="D58" s="2973"/>
      <c r="E58" s="730" t="s">
        <v>3357</v>
      </c>
      <c r="F58" s="727"/>
      <c r="G58" s="486" t="s">
        <v>3354</v>
      </c>
      <c r="H58" s="727">
        <v>9</v>
      </c>
      <c r="I58" s="486" t="s">
        <v>3358</v>
      </c>
      <c r="J58" s="486" t="s">
        <v>3359</v>
      </c>
      <c r="K58" s="363">
        <v>9</v>
      </c>
      <c r="L58" s="1661">
        <v>1</v>
      </c>
      <c r="M58" s="363">
        <v>5</v>
      </c>
      <c r="N58" s="1661">
        <f>+M58/K58</f>
        <v>0.55555555555555558</v>
      </c>
      <c r="O58" s="3215"/>
      <c r="P58" s="1669">
        <v>1089094000</v>
      </c>
      <c r="Q58" s="1669">
        <v>3918477957</v>
      </c>
      <c r="R58" s="1669">
        <v>1341256000</v>
      </c>
      <c r="S58" s="1669">
        <v>587128500</v>
      </c>
      <c r="T58" s="861">
        <f>+R58/Q58</f>
        <v>0.34229004596133294</v>
      </c>
      <c r="U58" s="861">
        <f>+S58/R58</f>
        <v>0.43774529247213062</v>
      </c>
      <c r="V58" s="859">
        <v>45383</v>
      </c>
      <c r="W58" s="859">
        <v>45657</v>
      </c>
      <c r="X58" s="320" t="s">
        <v>5462</v>
      </c>
      <c r="Y58" s="3216"/>
    </row>
    <row r="59" spans="1:25">
      <c r="A59" s="1666"/>
      <c r="B59" s="725">
        <v>52010030007</v>
      </c>
      <c r="C59" s="725" t="s">
        <v>103</v>
      </c>
      <c r="D59" s="502" t="s">
        <v>3360</v>
      </c>
      <c r="E59" s="726"/>
      <c r="F59" s="727"/>
      <c r="G59" s="486"/>
      <c r="H59" s="727">
        <f>+H61+H63+H66</f>
        <v>106</v>
      </c>
      <c r="I59" s="364"/>
      <c r="J59" s="364"/>
      <c r="K59" s="743"/>
      <c r="L59" s="1667"/>
      <c r="M59" s="363"/>
      <c r="N59" s="1661"/>
      <c r="O59" s="714"/>
      <c r="P59" s="735"/>
      <c r="Q59" s="860"/>
      <c r="R59" s="860"/>
      <c r="S59" s="860"/>
      <c r="T59" s="860"/>
      <c r="U59" s="860"/>
      <c r="V59" s="859"/>
      <c r="W59" s="859"/>
      <c r="X59" s="320"/>
      <c r="Y59" s="1668"/>
    </row>
    <row r="60" spans="1:25" ht="16.5" customHeight="1">
      <c r="A60" s="3213">
        <v>4161</v>
      </c>
      <c r="B60" s="3226"/>
      <c r="C60" s="2936" t="s">
        <v>109</v>
      </c>
      <c r="D60" s="2973" t="s">
        <v>3361</v>
      </c>
      <c r="E60" s="730" t="s">
        <v>3362</v>
      </c>
      <c r="F60" s="727"/>
      <c r="G60" s="183"/>
      <c r="H60" s="727"/>
      <c r="I60" s="486"/>
      <c r="J60" s="486"/>
      <c r="K60" s="727">
        <f>SUM(K61)</f>
        <v>16</v>
      </c>
      <c r="L60" s="1661">
        <f>SUM(L61:L61)</f>
        <v>1</v>
      </c>
      <c r="M60" s="363">
        <f>SUM(M61)</f>
        <v>0</v>
      </c>
      <c r="N60" s="1661">
        <f>SUM(N61)</f>
        <v>0</v>
      </c>
      <c r="O60" s="3215">
        <f>+IF(Q60&gt;0,N60,"na")</f>
        <v>0</v>
      </c>
      <c r="P60" s="1669">
        <f>SUM(P61:P61)</f>
        <v>755417240</v>
      </c>
      <c r="Q60" s="1669">
        <f t="shared" ref="Q60:S60" si="18">SUM(Q61:Q61)</f>
        <v>755417240</v>
      </c>
      <c r="R60" s="1669">
        <f t="shared" si="18"/>
        <v>0</v>
      </c>
      <c r="S60" s="1669">
        <f t="shared" si="18"/>
        <v>0</v>
      </c>
      <c r="T60" s="861">
        <f t="shared" ref="T60:T65" si="19">+R60/Q60</f>
        <v>0</v>
      </c>
      <c r="U60" s="861">
        <v>0</v>
      </c>
      <c r="V60" s="860"/>
      <c r="W60" s="860"/>
      <c r="X60" s="320"/>
      <c r="Y60" s="3220" t="s">
        <v>3304</v>
      </c>
    </row>
    <row r="61" spans="1:25" ht="67.5">
      <c r="A61" s="3213"/>
      <c r="B61" s="3226"/>
      <c r="C61" s="2936"/>
      <c r="D61" s="2973"/>
      <c r="E61" s="730" t="s">
        <v>3363</v>
      </c>
      <c r="F61" s="727"/>
      <c r="G61" s="486" t="s">
        <v>3360</v>
      </c>
      <c r="H61" s="727">
        <v>16</v>
      </c>
      <c r="I61" s="486" t="s">
        <v>3364</v>
      </c>
      <c r="J61" s="486" t="s">
        <v>3365</v>
      </c>
      <c r="K61" s="363">
        <v>16</v>
      </c>
      <c r="L61" s="1661">
        <v>1</v>
      </c>
      <c r="M61" s="363">
        <v>0</v>
      </c>
      <c r="N61" s="1661">
        <v>0</v>
      </c>
      <c r="O61" s="3215"/>
      <c r="P61" s="1669">
        <v>755417240</v>
      </c>
      <c r="Q61" s="1669">
        <v>755417240</v>
      </c>
      <c r="R61" s="1669" t="s">
        <v>5449</v>
      </c>
      <c r="S61" s="1669" t="s">
        <v>5449</v>
      </c>
      <c r="T61" s="861">
        <v>0</v>
      </c>
      <c r="U61" s="861">
        <v>0</v>
      </c>
      <c r="V61" s="859"/>
      <c r="W61" s="859"/>
      <c r="X61" s="320"/>
      <c r="Y61" s="3220"/>
    </row>
    <row r="62" spans="1:25" ht="16.5" customHeight="1">
      <c r="A62" s="3213">
        <v>4161</v>
      </c>
      <c r="B62" s="3226"/>
      <c r="C62" s="2936" t="s">
        <v>109</v>
      </c>
      <c r="D62" s="2973" t="s">
        <v>3366</v>
      </c>
      <c r="E62" s="730" t="s">
        <v>3367</v>
      </c>
      <c r="F62" s="727"/>
      <c r="G62" s="183"/>
      <c r="H62" s="727"/>
      <c r="I62" s="486"/>
      <c r="J62" s="486"/>
      <c r="K62" s="727">
        <f>SUM(K64)</f>
        <v>1</v>
      </c>
      <c r="L62" s="1661">
        <f>SUM(L64:L64)</f>
        <v>0.1</v>
      </c>
      <c r="M62" s="363">
        <f>SUM(M63:M64)</f>
        <v>0</v>
      </c>
      <c r="N62" s="1661">
        <f>SUM(N63:N64)</f>
        <v>0</v>
      </c>
      <c r="O62" s="3221">
        <f>+IF(Q62&gt;0,N62,"na")</f>
        <v>0</v>
      </c>
      <c r="P62" s="1669">
        <f>SUM(P63:P64)</f>
        <v>771123782</v>
      </c>
      <c r="Q62" s="1669">
        <f t="shared" ref="Q62:S62" si="20">SUM(Q63:Q64)</f>
        <v>771123782</v>
      </c>
      <c r="R62" s="1669">
        <f t="shared" si="20"/>
        <v>0</v>
      </c>
      <c r="S62" s="1669">
        <f t="shared" si="20"/>
        <v>0</v>
      </c>
      <c r="T62" s="861">
        <f t="shared" si="19"/>
        <v>0</v>
      </c>
      <c r="U62" s="861">
        <v>0</v>
      </c>
      <c r="V62" s="860"/>
      <c r="W62" s="860"/>
      <c r="X62" s="320"/>
      <c r="Y62" s="3220" t="s">
        <v>3304</v>
      </c>
    </row>
    <row r="63" spans="1:25" ht="54">
      <c r="A63" s="3213"/>
      <c r="B63" s="3226"/>
      <c r="C63" s="2936"/>
      <c r="D63" s="2973"/>
      <c r="E63" s="730" t="s">
        <v>3368</v>
      </c>
      <c r="F63" s="727"/>
      <c r="G63" s="486" t="s">
        <v>3360</v>
      </c>
      <c r="H63" s="727">
        <v>26</v>
      </c>
      <c r="I63" s="486" t="s">
        <v>3369</v>
      </c>
      <c r="J63" s="486" t="s">
        <v>3370</v>
      </c>
      <c r="K63" s="363">
        <v>26</v>
      </c>
      <c r="L63" s="1661">
        <v>0.9</v>
      </c>
      <c r="M63" s="363">
        <v>0</v>
      </c>
      <c r="N63" s="1661">
        <v>0</v>
      </c>
      <c r="O63" s="3222"/>
      <c r="P63" s="1669">
        <v>586226320</v>
      </c>
      <c r="Q63" s="1669">
        <v>586226320</v>
      </c>
      <c r="R63" s="1669" t="s">
        <v>5449</v>
      </c>
      <c r="S63" s="1669" t="s">
        <v>5449</v>
      </c>
      <c r="T63" s="861">
        <v>0</v>
      </c>
      <c r="U63" s="861">
        <v>0</v>
      </c>
      <c r="V63" s="859"/>
      <c r="W63" s="859"/>
      <c r="X63" s="320"/>
      <c r="Y63" s="3220"/>
    </row>
    <row r="64" spans="1:25" ht="54">
      <c r="A64" s="3213"/>
      <c r="B64" s="3226"/>
      <c r="C64" s="2936"/>
      <c r="D64" s="2973"/>
      <c r="E64" s="730" t="s">
        <v>3371</v>
      </c>
      <c r="F64" s="727"/>
      <c r="G64" s="486"/>
      <c r="H64" s="727"/>
      <c r="I64" s="486" t="s">
        <v>3372</v>
      </c>
      <c r="J64" s="486" t="s">
        <v>3373</v>
      </c>
      <c r="K64" s="363">
        <v>1</v>
      </c>
      <c r="L64" s="1661">
        <v>0.1</v>
      </c>
      <c r="M64" s="363">
        <v>0</v>
      </c>
      <c r="N64" s="1661">
        <v>0</v>
      </c>
      <c r="O64" s="3228"/>
      <c r="P64" s="1669">
        <v>184897462</v>
      </c>
      <c r="Q64" s="1669">
        <v>184897462</v>
      </c>
      <c r="R64" s="1669" t="s">
        <v>5449</v>
      </c>
      <c r="S64" s="1669" t="s">
        <v>5449</v>
      </c>
      <c r="T64" s="861">
        <v>0</v>
      </c>
      <c r="U64" s="861">
        <v>0</v>
      </c>
      <c r="V64" s="859"/>
      <c r="W64" s="859"/>
      <c r="X64" s="320"/>
      <c r="Y64" s="3220"/>
    </row>
    <row r="65" spans="1:25" ht="16.5" customHeight="1">
      <c r="A65" s="3213">
        <v>4161</v>
      </c>
      <c r="B65" s="3226"/>
      <c r="C65" s="2936" t="s">
        <v>109</v>
      </c>
      <c r="D65" s="2973" t="s">
        <v>3374</v>
      </c>
      <c r="E65" s="730" t="s">
        <v>3375</v>
      </c>
      <c r="F65" s="727"/>
      <c r="G65" s="486"/>
      <c r="H65" s="727"/>
      <c r="I65" s="486"/>
      <c r="J65" s="486"/>
      <c r="K65" s="727">
        <f>SUM(K66)</f>
        <v>64</v>
      </c>
      <c r="L65" s="1661">
        <f>SUM(L66:L66)</f>
        <v>1</v>
      </c>
      <c r="M65" s="363">
        <f>SUM(M66)</f>
        <v>0</v>
      </c>
      <c r="N65" s="1661">
        <f>SUM(N66)</f>
        <v>0</v>
      </c>
      <c r="O65" s="3215">
        <f>+IF(Q65&gt;0,N65,"na")</f>
        <v>0</v>
      </c>
      <c r="P65" s="1669">
        <f>SUM(P66:P66)</f>
        <v>11111947163</v>
      </c>
      <c r="Q65" s="1669">
        <f t="shared" ref="Q65:S65" si="21">SUM(Q66:Q66)</f>
        <v>10617257853</v>
      </c>
      <c r="R65" s="1669">
        <f t="shared" si="21"/>
        <v>0</v>
      </c>
      <c r="S65" s="1669">
        <f t="shared" si="21"/>
        <v>0</v>
      </c>
      <c r="T65" s="861">
        <f t="shared" si="19"/>
        <v>0</v>
      </c>
      <c r="U65" s="861">
        <v>0</v>
      </c>
      <c r="V65" s="860"/>
      <c r="W65" s="860"/>
      <c r="X65" s="320"/>
      <c r="Y65" s="3227" t="s">
        <v>3304</v>
      </c>
    </row>
    <row r="66" spans="1:25" ht="54">
      <c r="A66" s="3213"/>
      <c r="B66" s="3226"/>
      <c r="C66" s="2936"/>
      <c r="D66" s="2973"/>
      <c r="E66" s="730" t="s">
        <v>3376</v>
      </c>
      <c r="F66" s="727"/>
      <c r="G66" s="486" t="s">
        <v>3360</v>
      </c>
      <c r="H66" s="727">
        <v>64</v>
      </c>
      <c r="I66" s="486" t="s">
        <v>3377</v>
      </c>
      <c r="J66" s="486" t="s">
        <v>3307</v>
      </c>
      <c r="K66" s="363">
        <v>64</v>
      </c>
      <c r="L66" s="1661">
        <v>1</v>
      </c>
      <c r="M66" s="363">
        <v>0</v>
      </c>
      <c r="N66" s="1661">
        <v>0</v>
      </c>
      <c r="O66" s="3215"/>
      <c r="P66" s="1669">
        <v>11111947163</v>
      </c>
      <c r="Q66" s="1669">
        <v>10617257853</v>
      </c>
      <c r="R66" s="1669" t="s">
        <v>5449</v>
      </c>
      <c r="S66" s="1669" t="s">
        <v>5449</v>
      </c>
      <c r="T66" s="861">
        <v>0</v>
      </c>
      <c r="U66" s="861">
        <v>0</v>
      </c>
      <c r="V66" s="859"/>
      <c r="W66" s="859"/>
      <c r="X66" s="320"/>
      <c r="Y66" s="3227"/>
    </row>
    <row r="67" spans="1:25" ht="25.5">
      <c r="A67" s="1666"/>
      <c r="B67" s="725">
        <v>52010030008</v>
      </c>
      <c r="C67" s="725" t="s">
        <v>103</v>
      </c>
      <c r="D67" s="502" t="s">
        <v>3378</v>
      </c>
      <c r="E67" s="726"/>
      <c r="F67" s="727"/>
      <c r="G67" s="486"/>
      <c r="H67" s="492">
        <f>+H69</f>
        <v>6</v>
      </c>
      <c r="I67" s="364"/>
      <c r="J67" s="364"/>
      <c r="K67" s="607"/>
      <c r="L67" s="1667"/>
      <c r="M67" s="363"/>
      <c r="N67" s="1661"/>
      <c r="O67" s="714"/>
      <c r="P67" s="735"/>
      <c r="Q67" s="860"/>
      <c r="R67" s="860"/>
      <c r="S67" s="860"/>
      <c r="T67" s="860"/>
      <c r="U67" s="860"/>
      <c r="V67" s="859"/>
      <c r="W67" s="859"/>
      <c r="X67" s="320"/>
      <c r="Y67" s="1668"/>
    </row>
    <row r="68" spans="1:25" ht="16.5" customHeight="1">
      <c r="A68" s="3213">
        <v>4161</v>
      </c>
      <c r="B68" s="3226"/>
      <c r="C68" s="2936" t="s">
        <v>109</v>
      </c>
      <c r="D68" s="2973" t="s">
        <v>3379</v>
      </c>
      <c r="E68" s="730" t="s">
        <v>3380</v>
      </c>
      <c r="F68" s="727"/>
      <c r="G68" s="183"/>
      <c r="H68" s="736"/>
      <c r="I68" s="486"/>
      <c r="J68" s="486"/>
      <c r="K68" s="727">
        <f>SUM(K69)</f>
        <v>6</v>
      </c>
      <c r="L68" s="1661">
        <f>SUM(L69:L70)</f>
        <v>1</v>
      </c>
      <c r="M68" s="363">
        <f>SUM(M69:M70)</f>
        <v>3</v>
      </c>
      <c r="N68" s="1661">
        <f>SUM(N69:N70)</f>
        <v>0.5</v>
      </c>
      <c r="O68" s="3221">
        <f>+IF(Q68&gt;0,N68,"na")</f>
        <v>0.5</v>
      </c>
      <c r="P68" s="1669">
        <f>SUM(P69:P70)</f>
        <v>371710674</v>
      </c>
      <c r="Q68" s="1669">
        <f t="shared" ref="Q68:S68" si="22">SUM(Q69:Q70)</f>
        <v>371710674</v>
      </c>
      <c r="R68" s="1669">
        <f t="shared" si="22"/>
        <v>272639842</v>
      </c>
      <c r="S68" s="1669">
        <f t="shared" si="22"/>
        <v>119551303</v>
      </c>
      <c r="T68" s="861">
        <f>+R68/Q68</f>
        <v>0.73347326582286954</v>
      </c>
      <c r="U68" s="861">
        <f>+S68/R68</f>
        <v>0.43849535021370795</v>
      </c>
      <c r="V68" s="859"/>
      <c r="W68" s="859"/>
      <c r="X68" s="320"/>
      <c r="Y68" s="3220" t="s">
        <v>3304</v>
      </c>
    </row>
    <row r="69" spans="1:25" ht="121.5">
      <c r="A69" s="3213"/>
      <c r="B69" s="3226"/>
      <c r="C69" s="2936"/>
      <c r="D69" s="2973"/>
      <c r="E69" s="730" t="s">
        <v>3381</v>
      </c>
      <c r="F69" s="727"/>
      <c r="G69" s="486" t="s">
        <v>3378</v>
      </c>
      <c r="H69" s="736">
        <v>6</v>
      </c>
      <c r="I69" s="486" t="s">
        <v>3382</v>
      </c>
      <c r="J69" s="486" t="s">
        <v>3383</v>
      </c>
      <c r="K69" s="363">
        <v>6</v>
      </c>
      <c r="L69" s="1661">
        <v>0.9</v>
      </c>
      <c r="M69" s="363">
        <v>3</v>
      </c>
      <c r="N69" s="1661">
        <v>0.5</v>
      </c>
      <c r="O69" s="3222"/>
      <c r="P69" s="1669">
        <v>346341842</v>
      </c>
      <c r="Q69" s="1669">
        <v>346341842</v>
      </c>
      <c r="R69" s="1669">
        <v>272639842</v>
      </c>
      <c r="S69" s="1669">
        <v>119551303</v>
      </c>
      <c r="T69" s="861">
        <f>+R69/Q69</f>
        <v>0.7871986833170449</v>
      </c>
      <c r="U69" s="861">
        <v>0</v>
      </c>
      <c r="V69" s="859">
        <v>45309</v>
      </c>
      <c r="W69" s="859">
        <v>45657</v>
      </c>
      <c r="X69" s="320" t="s">
        <v>3384</v>
      </c>
      <c r="Y69" s="3220"/>
    </row>
    <row r="70" spans="1:25" ht="54">
      <c r="A70" s="3213"/>
      <c r="B70" s="3226"/>
      <c r="C70" s="2936"/>
      <c r="D70" s="2973"/>
      <c r="E70" s="730" t="s">
        <v>3385</v>
      </c>
      <c r="F70" s="727"/>
      <c r="G70" s="335"/>
      <c r="H70" s="492"/>
      <c r="I70" s="486" t="s">
        <v>3386</v>
      </c>
      <c r="J70" s="486" t="s">
        <v>502</v>
      </c>
      <c r="K70" s="363">
        <v>6</v>
      </c>
      <c r="L70" s="1661">
        <v>0.1</v>
      </c>
      <c r="M70" s="363">
        <v>0</v>
      </c>
      <c r="N70" s="1661">
        <v>0</v>
      </c>
      <c r="O70" s="3228"/>
      <c r="P70" s="1669">
        <v>25368832</v>
      </c>
      <c r="Q70" s="1669">
        <v>25368832</v>
      </c>
      <c r="R70" s="1669" t="s">
        <v>5449</v>
      </c>
      <c r="S70" s="1669" t="s">
        <v>5449</v>
      </c>
      <c r="T70" s="861">
        <v>0</v>
      </c>
      <c r="U70" s="861">
        <v>0</v>
      </c>
      <c r="V70" s="859"/>
      <c r="W70" s="859"/>
      <c r="X70" s="320"/>
      <c r="Y70" s="3220"/>
    </row>
    <row r="71" spans="1:25">
      <c r="A71" s="1676"/>
      <c r="B71" s="511">
        <v>5201004</v>
      </c>
      <c r="C71" s="511" t="s">
        <v>102</v>
      </c>
      <c r="D71" s="512" t="s">
        <v>1196</v>
      </c>
      <c r="E71" s="718"/>
      <c r="F71" s="727"/>
      <c r="G71" s="486"/>
      <c r="H71" s="492"/>
      <c r="I71" s="361"/>
      <c r="J71" s="361"/>
      <c r="K71" s="719"/>
      <c r="L71" s="1664"/>
      <c r="M71" s="363"/>
      <c r="N71" s="1661"/>
      <c r="O71" s="714"/>
      <c r="P71" s="739"/>
      <c r="Q71" s="860"/>
      <c r="R71" s="860"/>
      <c r="S71" s="860"/>
      <c r="T71" s="860"/>
      <c r="U71" s="860"/>
      <c r="V71" s="859"/>
      <c r="W71" s="859"/>
      <c r="X71" s="320"/>
      <c r="Y71" s="1677"/>
    </row>
    <row r="72" spans="1:25">
      <c r="A72" s="1681"/>
      <c r="B72" s="725">
        <v>52010040001</v>
      </c>
      <c r="C72" s="725" t="s">
        <v>103</v>
      </c>
      <c r="D72" s="502" t="s">
        <v>3387</v>
      </c>
      <c r="E72" s="744"/>
      <c r="F72" s="492"/>
      <c r="G72" s="183"/>
      <c r="H72" s="492">
        <f>+H74</f>
        <v>2</v>
      </c>
      <c r="I72" s="187"/>
      <c r="J72" s="187"/>
      <c r="K72" s="190"/>
      <c r="L72" s="1667"/>
      <c r="M72" s="363"/>
      <c r="N72" s="1661"/>
      <c r="O72" s="714"/>
      <c r="P72" s="1236"/>
      <c r="Q72" s="860"/>
      <c r="R72" s="860"/>
      <c r="S72" s="860"/>
      <c r="T72" s="860"/>
      <c r="U72" s="860"/>
      <c r="V72" s="859"/>
      <c r="W72" s="859"/>
      <c r="X72" s="320"/>
      <c r="Y72" s="1672"/>
    </row>
    <row r="73" spans="1:25" ht="16.5" customHeight="1">
      <c r="A73" s="3229">
        <v>4161</v>
      </c>
      <c r="B73" s="2935"/>
      <c r="C73" s="2935" t="s">
        <v>109</v>
      </c>
      <c r="D73" s="2973" t="s">
        <v>3388</v>
      </c>
      <c r="E73" s="734" t="s">
        <v>3389</v>
      </c>
      <c r="F73" s="492"/>
      <c r="G73" s="183"/>
      <c r="H73" s="492"/>
      <c r="I73" s="486"/>
      <c r="J73" s="486"/>
      <c r="K73" s="727">
        <f>SUM(K74)</f>
        <v>2</v>
      </c>
      <c r="L73" s="1661">
        <f>SUM(L74:L74)</f>
        <v>1</v>
      </c>
      <c r="M73" s="363">
        <f>SUM(M74)</f>
        <v>0</v>
      </c>
      <c r="N73" s="1661">
        <f>SUM(N74)</f>
        <v>0</v>
      </c>
      <c r="O73" s="3215">
        <f>+IF(Q73&gt;0,N73,"na")</f>
        <v>0</v>
      </c>
      <c r="P73" s="1669">
        <f>SUM(P74:P74)</f>
        <v>5850284632</v>
      </c>
      <c r="Q73" s="1669">
        <f t="shared" ref="Q73:S73" si="23">SUM(Q74:Q74)</f>
        <v>5850284632</v>
      </c>
      <c r="R73" s="1669">
        <f t="shared" si="23"/>
        <v>0</v>
      </c>
      <c r="S73" s="1669">
        <f t="shared" si="23"/>
        <v>0</v>
      </c>
      <c r="T73" s="861">
        <f>+R73/Q73</f>
        <v>0</v>
      </c>
      <c r="U73" s="861">
        <v>0</v>
      </c>
      <c r="V73" s="860"/>
      <c r="W73" s="860"/>
      <c r="X73" s="320"/>
      <c r="Y73" s="3220" t="s">
        <v>3292</v>
      </c>
    </row>
    <row r="74" spans="1:25" ht="54">
      <c r="A74" s="3229"/>
      <c r="B74" s="2935"/>
      <c r="C74" s="2935"/>
      <c r="D74" s="2973"/>
      <c r="E74" s="734" t="s">
        <v>3390</v>
      </c>
      <c r="F74" s="492"/>
      <c r="G74" s="513" t="s">
        <v>3387</v>
      </c>
      <c r="H74" s="492">
        <v>2</v>
      </c>
      <c r="I74" s="486" t="s">
        <v>3391</v>
      </c>
      <c r="J74" s="486" t="s">
        <v>3392</v>
      </c>
      <c r="K74" s="363">
        <v>2</v>
      </c>
      <c r="L74" s="1661">
        <v>1</v>
      </c>
      <c r="M74" s="363">
        <v>0</v>
      </c>
      <c r="N74" s="1661">
        <v>0</v>
      </c>
      <c r="O74" s="3215"/>
      <c r="P74" s="1669">
        <v>5850284632</v>
      </c>
      <c r="Q74" s="1669">
        <v>5850284632</v>
      </c>
      <c r="R74" s="1669" t="s">
        <v>5449</v>
      </c>
      <c r="S74" s="1669" t="s">
        <v>5449</v>
      </c>
      <c r="T74" s="861">
        <v>0</v>
      </c>
      <c r="U74" s="861">
        <v>0</v>
      </c>
      <c r="V74" s="859"/>
      <c r="W74" s="859"/>
      <c r="X74" s="320"/>
      <c r="Y74" s="3220"/>
    </row>
    <row r="75" spans="1:25" ht="38.25">
      <c r="A75" s="1681"/>
      <c r="B75" s="725">
        <v>52010040002</v>
      </c>
      <c r="C75" s="725" t="s">
        <v>103</v>
      </c>
      <c r="D75" s="502" t="s">
        <v>3393</v>
      </c>
      <c r="E75" s="744"/>
      <c r="F75" s="492"/>
      <c r="G75" s="183"/>
      <c r="H75" s="492">
        <f>+H77</f>
        <v>75</v>
      </c>
      <c r="I75" s="187"/>
      <c r="J75" s="187"/>
      <c r="K75" s="190"/>
      <c r="L75" s="1667"/>
      <c r="M75" s="363"/>
      <c r="N75" s="1661"/>
      <c r="O75" s="714"/>
      <c r="P75" s="1236"/>
      <c r="Q75" s="860"/>
      <c r="R75" s="860"/>
      <c r="S75" s="860"/>
      <c r="T75" s="860"/>
      <c r="U75" s="860"/>
      <c r="V75" s="859"/>
      <c r="W75" s="859"/>
      <c r="X75" s="320"/>
      <c r="Y75" s="1672"/>
    </row>
    <row r="76" spans="1:25" ht="16.5" customHeight="1">
      <c r="A76" s="3229">
        <v>4161</v>
      </c>
      <c r="B76" s="2935"/>
      <c r="C76" s="2935" t="s">
        <v>109</v>
      </c>
      <c r="D76" s="2973" t="s">
        <v>3394</v>
      </c>
      <c r="E76" s="734" t="s">
        <v>3395</v>
      </c>
      <c r="F76" s="492"/>
      <c r="G76" s="183"/>
      <c r="H76" s="492"/>
      <c r="I76" s="486"/>
      <c r="J76" s="486"/>
      <c r="K76" s="727">
        <f>SUM(K77)</f>
        <v>75</v>
      </c>
      <c r="L76" s="1661">
        <f>SUM(L77:L77)</f>
        <v>1</v>
      </c>
      <c r="M76" s="363">
        <f>SUM(M77)</f>
        <v>0</v>
      </c>
      <c r="N76" s="1661">
        <f>SUM(N77)</f>
        <v>0</v>
      </c>
      <c r="O76" s="3215">
        <f>+IF(Q76&gt;0,N76,"na")</f>
        <v>0</v>
      </c>
      <c r="P76" s="1669">
        <f>SUM(P77:P77)</f>
        <v>429776880</v>
      </c>
      <c r="Q76" s="1669">
        <f t="shared" ref="Q76:S76" si="24">SUM(Q77:Q77)</f>
        <v>429776880</v>
      </c>
      <c r="R76" s="1669">
        <f t="shared" si="24"/>
        <v>0</v>
      </c>
      <c r="S76" s="1669">
        <f t="shared" si="24"/>
        <v>0</v>
      </c>
      <c r="T76" s="861">
        <f>+R76/Q76</f>
        <v>0</v>
      </c>
      <c r="U76" s="861">
        <v>0</v>
      </c>
      <c r="V76" s="860"/>
      <c r="W76" s="860"/>
      <c r="X76" s="320"/>
      <c r="Y76" s="3220" t="s">
        <v>3292</v>
      </c>
    </row>
    <row r="77" spans="1:25" ht="148.5">
      <c r="A77" s="3229"/>
      <c r="B77" s="2935"/>
      <c r="C77" s="2935"/>
      <c r="D77" s="2973"/>
      <c r="E77" s="734" t="s">
        <v>3396</v>
      </c>
      <c r="F77" s="492"/>
      <c r="G77" s="513" t="s">
        <v>3393</v>
      </c>
      <c r="H77" s="492">
        <v>75</v>
      </c>
      <c r="I77" s="486" t="s">
        <v>3397</v>
      </c>
      <c r="J77" s="486" t="s">
        <v>3398</v>
      </c>
      <c r="K77" s="363">
        <v>75</v>
      </c>
      <c r="L77" s="1661">
        <v>1</v>
      </c>
      <c r="M77" s="363">
        <v>0</v>
      </c>
      <c r="N77" s="1661">
        <v>0</v>
      </c>
      <c r="O77" s="3215"/>
      <c r="P77" s="1669">
        <v>429776880</v>
      </c>
      <c r="Q77" s="1669">
        <v>429776880</v>
      </c>
      <c r="R77" s="1669" t="s">
        <v>5449</v>
      </c>
      <c r="S77" s="1669" t="s">
        <v>5449</v>
      </c>
      <c r="T77" s="861">
        <v>0</v>
      </c>
      <c r="U77" s="861">
        <v>0</v>
      </c>
      <c r="V77" s="859"/>
      <c r="W77" s="859"/>
      <c r="X77" s="320"/>
      <c r="Y77" s="3220"/>
    </row>
    <row r="78" spans="1:25">
      <c r="A78" s="1681"/>
      <c r="B78" s="725">
        <v>52010040003</v>
      </c>
      <c r="C78" s="725" t="s">
        <v>103</v>
      </c>
      <c r="D78" s="502" t="s">
        <v>3399</v>
      </c>
      <c r="E78" s="744"/>
      <c r="F78" s="492"/>
      <c r="G78" s="183"/>
      <c r="H78" s="492">
        <f>+H80</f>
        <v>2</v>
      </c>
      <c r="I78" s="187"/>
      <c r="J78" s="187"/>
      <c r="K78" s="190"/>
      <c r="L78" s="1667"/>
      <c r="M78" s="363"/>
      <c r="N78" s="1661"/>
      <c r="O78" s="714"/>
      <c r="P78" s="1236"/>
      <c r="Q78" s="860"/>
      <c r="R78" s="860"/>
      <c r="S78" s="860"/>
      <c r="T78" s="860"/>
      <c r="U78" s="860"/>
      <c r="V78" s="859"/>
      <c r="W78" s="859"/>
      <c r="X78" s="320"/>
      <c r="Y78" s="1682"/>
    </row>
    <row r="79" spans="1:25" ht="16.5" customHeight="1">
      <c r="A79" s="3213">
        <v>4161</v>
      </c>
      <c r="B79" s="3226"/>
      <c r="C79" s="2936" t="s">
        <v>109</v>
      </c>
      <c r="D79" s="3224" t="s">
        <v>3400</v>
      </c>
      <c r="E79" s="730" t="s">
        <v>3401</v>
      </c>
      <c r="F79" s="736"/>
      <c r="G79" s="183"/>
      <c r="H79" s="492"/>
      <c r="I79" s="486"/>
      <c r="J79" s="486"/>
      <c r="K79" s="727">
        <f>SUM(K80)</f>
        <v>2</v>
      </c>
      <c r="L79" s="1661">
        <f>SUM(L80:L80)</f>
        <v>1</v>
      </c>
      <c r="M79" s="363">
        <f>SUM(M80)</f>
        <v>0</v>
      </c>
      <c r="N79" s="1661">
        <f>SUM(N80)</f>
        <v>0</v>
      </c>
      <c r="O79" s="3215">
        <f>+IF(Q79&gt;0,N79,"na")</f>
        <v>0</v>
      </c>
      <c r="P79" s="1669">
        <f>SUM(P80:P80)</f>
        <v>500000000</v>
      </c>
      <c r="Q79" s="1669">
        <f t="shared" ref="Q79:S79" si="25">SUM(Q80:Q80)</f>
        <v>500000000</v>
      </c>
      <c r="R79" s="1669">
        <f t="shared" si="25"/>
        <v>0</v>
      </c>
      <c r="S79" s="1669">
        <f t="shared" si="25"/>
        <v>0</v>
      </c>
      <c r="T79" s="861">
        <f>+R79/Q79</f>
        <v>0</v>
      </c>
      <c r="U79" s="861">
        <v>0</v>
      </c>
      <c r="V79" s="860"/>
      <c r="W79" s="860"/>
      <c r="X79" s="320"/>
      <c r="Y79" s="3220" t="s">
        <v>3292</v>
      </c>
    </row>
    <row r="80" spans="1:25" ht="67.5">
      <c r="A80" s="3213"/>
      <c r="B80" s="3226"/>
      <c r="C80" s="2936"/>
      <c r="D80" s="3224"/>
      <c r="E80" s="730" t="s">
        <v>3402</v>
      </c>
      <c r="F80" s="736"/>
      <c r="G80" s="513" t="s">
        <v>3399</v>
      </c>
      <c r="H80" s="492">
        <v>2</v>
      </c>
      <c r="I80" s="486" t="s">
        <v>3403</v>
      </c>
      <c r="J80" s="486" t="s">
        <v>3404</v>
      </c>
      <c r="K80" s="363">
        <v>2</v>
      </c>
      <c r="L80" s="1661">
        <v>1</v>
      </c>
      <c r="M80" s="363">
        <v>0</v>
      </c>
      <c r="N80" s="1661">
        <v>0</v>
      </c>
      <c r="O80" s="3215"/>
      <c r="P80" s="1669">
        <v>500000000</v>
      </c>
      <c r="Q80" s="1669">
        <v>500000000</v>
      </c>
      <c r="R80" s="1669" t="s">
        <v>5449</v>
      </c>
      <c r="S80" s="1669" t="s">
        <v>5449</v>
      </c>
      <c r="T80" s="861">
        <v>0</v>
      </c>
      <c r="U80" s="861">
        <v>0</v>
      </c>
      <c r="V80" s="859"/>
      <c r="W80" s="859"/>
      <c r="X80" s="320"/>
      <c r="Y80" s="3220"/>
    </row>
    <row r="81" spans="1:25">
      <c r="A81" s="1681"/>
      <c r="B81" s="725">
        <v>52010040005</v>
      </c>
      <c r="C81" s="725" t="s">
        <v>103</v>
      </c>
      <c r="D81" s="502" t="s">
        <v>3405</v>
      </c>
      <c r="E81" s="744"/>
      <c r="F81" s="492"/>
      <c r="G81" s="183"/>
      <c r="H81" s="492">
        <f>+H83</f>
        <v>5</v>
      </c>
      <c r="I81" s="187"/>
      <c r="J81" s="187"/>
      <c r="K81" s="190"/>
      <c r="L81" s="1667"/>
      <c r="M81" s="363"/>
      <c r="N81" s="1661"/>
      <c r="O81" s="714"/>
      <c r="P81" s="1236"/>
      <c r="Q81" s="860"/>
      <c r="R81" s="860"/>
      <c r="S81" s="860"/>
      <c r="T81" s="860"/>
      <c r="U81" s="860"/>
      <c r="V81" s="859"/>
      <c r="W81" s="859"/>
      <c r="X81" s="320"/>
      <c r="Y81" s="1682"/>
    </row>
    <row r="82" spans="1:25" ht="16.5" customHeight="1">
      <c r="A82" s="3229">
        <v>4161</v>
      </c>
      <c r="B82" s="2935"/>
      <c r="C82" s="2935" t="s">
        <v>109</v>
      </c>
      <c r="D82" s="2973" t="s">
        <v>3406</v>
      </c>
      <c r="E82" s="734" t="s">
        <v>3407</v>
      </c>
      <c r="F82" s="492"/>
      <c r="G82" s="183"/>
      <c r="H82" s="492"/>
      <c r="I82" s="486"/>
      <c r="J82" s="486"/>
      <c r="K82" s="727">
        <f>SUM(K83)</f>
        <v>5</v>
      </c>
      <c r="L82" s="1661">
        <f>SUM(L83:L83)</f>
        <v>1</v>
      </c>
      <c r="M82" s="363">
        <f>SUM(M83)</f>
        <v>0</v>
      </c>
      <c r="N82" s="1661">
        <f>SUM(N83)</f>
        <v>0</v>
      </c>
      <c r="O82" s="3215">
        <f>+IF(Q82&gt;0,N82,"na")</f>
        <v>0</v>
      </c>
      <c r="P82" s="1669">
        <f>SUM(P83:P83)</f>
        <v>738913100</v>
      </c>
      <c r="Q82" s="1669">
        <f t="shared" ref="Q82:S82" si="26">SUM(Q83:Q83)</f>
        <v>1330455514</v>
      </c>
      <c r="R82" s="1669">
        <f t="shared" si="26"/>
        <v>0</v>
      </c>
      <c r="S82" s="1669">
        <f t="shared" si="26"/>
        <v>0</v>
      </c>
      <c r="T82" s="861">
        <f>+R82/Q82</f>
        <v>0</v>
      </c>
      <c r="U82" s="861">
        <v>0</v>
      </c>
      <c r="V82" s="860"/>
      <c r="W82" s="860"/>
      <c r="X82" s="320"/>
      <c r="Y82" s="3230" t="s">
        <v>3292</v>
      </c>
    </row>
    <row r="83" spans="1:25" ht="67.5">
      <c r="A83" s="3229"/>
      <c r="B83" s="2935"/>
      <c r="C83" s="2935"/>
      <c r="D83" s="2973"/>
      <c r="E83" s="734" t="s">
        <v>3408</v>
      </c>
      <c r="F83" s="492"/>
      <c r="G83" s="182" t="s">
        <v>3405</v>
      </c>
      <c r="H83" s="492">
        <v>5</v>
      </c>
      <c r="I83" s="486" t="s">
        <v>3409</v>
      </c>
      <c r="J83" s="486" t="s">
        <v>3410</v>
      </c>
      <c r="K83" s="363">
        <v>5</v>
      </c>
      <c r="L83" s="1661">
        <v>1</v>
      </c>
      <c r="M83" s="363">
        <v>0</v>
      </c>
      <c r="N83" s="1661">
        <v>0</v>
      </c>
      <c r="O83" s="3215"/>
      <c r="P83" s="1669">
        <v>738913100</v>
      </c>
      <c r="Q83" s="1669">
        <v>1330455514</v>
      </c>
      <c r="R83" s="1669" t="s">
        <v>5449</v>
      </c>
      <c r="S83" s="1669" t="s">
        <v>5449</v>
      </c>
      <c r="T83" s="861">
        <v>0</v>
      </c>
      <c r="U83" s="861">
        <v>0</v>
      </c>
      <c r="V83" s="859"/>
      <c r="W83" s="859"/>
      <c r="X83" s="320"/>
      <c r="Y83" s="3230"/>
    </row>
    <row r="84" spans="1:25">
      <c r="A84" s="1683"/>
      <c r="B84" s="511">
        <v>5201005</v>
      </c>
      <c r="C84" s="511" t="s">
        <v>102</v>
      </c>
      <c r="D84" s="512" t="s">
        <v>1499</v>
      </c>
      <c r="E84" s="745"/>
      <c r="F84" s="492"/>
      <c r="G84" s="183"/>
      <c r="H84" s="492"/>
      <c r="I84" s="185"/>
      <c r="J84" s="185"/>
      <c r="K84" s="189"/>
      <c r="L84" s="1664"/>
      <c r="M84" s="363"/>
      <c r="N84" s="1661"/>
      <c r="O84" s="714"/>
      <c r="P84" s="1234"/>
      <c r="Q84" s="860"/>
      <c r="R84" s="860"/>
      <c r="S84" s="860"/>
      <c r="T84" s="860"/>
      <c r="U84" s="860"/>
      <c r="V84" s="859"/>
      <c r="W84" s="859"/>
      <c r="X84" s="320"/>
      <c r="Y84" s="1684"/>
    </row>
    <row r="85" spans="1:25">
      <c r="A85" s="1681"/>
      <c r="B85" s="725">
        <v>52010050013</v>
      </c>
      <c r="C85" s="725" t="s">
        <v>103</v>
      </c>
      <c r="D85" s="502" t="s">
        <v>3411</v>
      </c>
      <c r="E85" s="744"/>
      <c r="F85" s="492"/>
      <c r="G85" s="183"/>
      <c r="H85" s="492">
        <f>+H87</f>
        <v>30</v>
      </c>
      <c r="I85" s="187"/>
      <c r="J85" s="187"/>
      <c r="K85" s="190"/>
      <c r="L85" s="1667"/>
      <c r="M85" s="363"/>
      <c r="N85" s="1661"/>
      <c r="O85" s="714"/>
      <c r="P85" s="1236"/>
      <c r="Q85" s="860"/>
      <c r="R85" s="860"/>
      <c r="S85" s="860"/>
      <c r="T85" s="860"/>
      <c r="U85" s="860"/>
      <c r="V85" s="859"/>
      <c r="W85" s="859"/>
      <c r="X85" s="320"/>
      <c r="Y85" s="1682"/>
    </row>
    <row r="86" spans="1:25" ht="16.5" customHeight="1">
      <c r="A86" s="3229">
        <v>4161</v>
      </c>
      <c r="B86" s="2935"/>
      <c r="C86" s="2935" t="s">
        <v>109</v>
      </c>
      <c r="D86" s="2973" t="s">
        <v>3412</v>
      </c>
      <c r="E86" s="734" t="s">
        <v>3413</v>
      </c>
      <c r="F86" s="492"/>
      <c r="G86" s="182"/>
      <c r="H86" s="492"/>
      <c r="I86" s="486"/>
      <c r="J86" s="486"/>
      <c r="K86" s="727">
        <f>SUM(K87)</f>
        <v>30</v>
      </c>
      <c r="L86" s="1661">
        <f>SUM(L87:L87)</f>
        <v>1</v>
      </c>
      <c r="M86" s="363">
        <f>SUM(M87)</f>
        <v>178</v>
      </c>
      <c r="N86" s="1661">
        <f>SUM(N87)</f>
        <v>0.6</v>
      </c>
      <c r="O86" s="3215">
        <f>+IF(Q86&gt;0,N86,"na")</f>
        <v>0.6</v>
      </c>
      <c r="P86" s="1669">
        <f>SUM(P87:P87)</f>
        <v>404129352</v>
      </c>
      <c r="Q86" s="1669">
        <f t="shared" ref="Q86:S86" si="27">SUM(Q87:Q87)</f>
        <v>603489352</v>
      </c>
      <c r="R86" s="1669">
        <f t="shared" si="27"/>
        <v>465722000</v>
      </c>
      <c r="S86" s="1669">
        <f t="shared" si="27"/>
        <v>143376438</v>
      </c>
      <c r="T86" s="861">
        <f>+R86/Q86</f>
        <v>0.77171535579968276</v>
      </c>
      <c r="U86" s="861">
        <f>+S86/R86</f>
        <v>0.30785841768265187</v>
      </c>
      <c r="V86" s="860"/>
      <c r="W86" s="860"/>
      <c r="X86" s="320"/>
      <c r="Y86" s="3220" t="s">
        <v>3414</v>
      </c>
    </row>
    <row r="87" spans="1:25" ht="135">
      <c r="A87" s="3229"/>
      <c r="B87" s="2935"/>
      <c r="C87" s="2935"/>
      <c r="D87" s="2973"/>
      <c r="E87" s="734" t="s">
        <v>3415</v>
      </c>
      <c r="F87" s="492"/>
      <c r="G87" s="183" t="s">
        <v>3411</v>
      </c>
      <c r="H87" s="492">
        <v>30</v>
      </c>
      <c r="I87" s="486" t="s">
        <v>3416</v>
      </c>
      <c r="J87" s="486" t="s">
        <v>3417</v>
      </c>
      <c r="K87" s="363">
        <v>30</v>
      </c>
      <c r="L87" s="1661">
        <v>1</v>
      </c>
      <c r="M87" s="363">
        <v>178</v>
      </c>
      <c r="N87" s="1661">
        <v>0.6</v>
      </c>
      <c r="O87" s="3215"/>
      <c r="P87" s="1669">
        <v>404129352</v>
      </c>
      <c r="Q87" s="1669">
        <v>603489352</v>
      </c>
      <c r="R87" s="1669">
        <v>465722000</v>
      </c>
      <c r="S87" s="1669">
        <v>143376438</v>
      </c>
      <c r="T87" s="861">
        <f>+R87/Q87</f>
        <v>0.77171535579968276</v>
      </c>
      <c r="U87" s="861">
        <f>+S87/R87</f>
        <v>0.30785841768265187</v>
      </c>
      <c r="V87" s="859">
        <v>45309</v>
      </c>
      <c r="W87" s="859">
        <v>45657</v>
      </c>
      <c r="X87" s="320" t="s">
        <v>5463</v>
      </c>
      <c r="Y87" s="3220"/>
    </row>
    <row r="88" spans="1:25">
      <c r="A88" s="1685"/>
      <c r="B88" s="499">
        <v>5202</v>
      </c>
      <c r="C88" s="499" t="s">
        <v>101</v>
      </c>
      <c r="D88" s="500" t="s">
        <v>3418</v>
      </c>
      <c r="E88" s="746"/>
      <c r="F88" s="492"/>
      <c r="G88" s="183"/>
      <c r="H88" s="492"/>
      <c r="I88" s="713"/>
      <c r="J88" s="737"/>
      <c r="K88" s="493"/>
      <c r="L88" s="1660"/>
      <c r="M88" s="363"/>
      <c r="N88" s="1661"/>
      <c r="O88" s="714"/>
      <c r="P88" s="1686"/>
      <c r="Q88" s="860"/>
      <c r="R88" s="860"/>
      <c r="S88" s="860"/>
      <c r="T88" s="860"/>
      <c r="U88" s="860"/>
      <c r="V88" s="859"/>
      <c r="W88" s="859"/>
      <c r="X88" s="320"/>
      <c r="Y88" s="1687"/>
    </row>
    <row r="89" spans="1:25">
      <c r="A89" s="1683"/>
      <c r="B89" s="511">
        <v>5202003</v>
      </c>
      <c r="C89" s="511" t="s">
        <v>102</v>
      </c>
      <c r="D89" s="512" t="s">
        <v>1548</v>
      </c>
      <c r="E89" s="745"/>
      <c r="F89" s="492"/>
      <c r="G89" s="183"/>
      <c r="H89" s="492"/>
      <c r="I89" s="721"/>
      <c r="J89" s="721"/>
      <c r="K89" s="189"/>
      <c r="L89" s="1664"/>
      <c r="M89" s="363"/>
      <c r="N89" s="1661"/>
      <c r="O89" s="714"/>
      <c r="P89" s="1234"/>
      <c r="Q89" s="860"/>
      <c r="R89" s="860"/>
      <c r="S89" s="860"/>
      <c r="T89" s="860"/>
      <c r="U89" s="860"/>
      <c r="V89" s="859"/>
      <c r="W89" s="859"/>
      <c r="X89" s="320"/>
      <c r="Y89" s="1684"/>
    </row>
    <row r="90" spans="1:25">
      <c r="A90" s="1681"/>
      <c r="B90" s="725">
        <v>52020030004</v>
      </c>
      <c r="C90" s="725" t="s">
        <v>103</v>
      </c>
      <c r="D90" s="502" t="s">
        <v>3419</v>
      </c>
      <c r="E90" s="744"/>
      <c r="F90" s="492"/>
      <c r="G90" s="482"/>
      <c r="H90" s="492">
        <f>+H92+H95+H97+H100</f>
        <v>720</v>
      </c>
      <c r="I90" s="747"/>
      <c r="J90" s="364"/>
      <c r="K90" s="190"/>
      <c r="L90" s="1667"/>
      <c r="M90" s="363"/>
      <c r="N90" s="1661"/>
      <c r="O90" s="714"/>
      <c r="P90" s="1236"/>
      <c r="Q90" s="860"/>
      <c r="R90" s="860"/>
      <c r="S90" s="860"/>
      <c r="T90" s="860"/>
      <c r="U90" s="860"/>
      <c r="V90" s="859"/>
      <c r="W90" s="859"/>
      <c r="X90" s="320"/>
      <c r="Y90" s="1682"/>
    </row>
    <row r="91" spans="1:25" ht="16.5" customHeight="1">
      <c r="A91" s="3229">
        <v>4161</v>
      </c>
      <c r="B91" s="2935"/>
      <c r="C91" s="2935" t="s">
        <v>109</v>
      </c>
      <c r="D91" s="2973" t="s">
        <v>3420</v>
      </c>
      <c r="E91" s="734" t="s">
        <v>3421</v>
      </c>
      <c r="F91" s="492"/>
      <c r="G91" s="482"/>
      <c r="H91" s="492"/>
      <c r="I91" s="486"/>
      <c r="J91" s="486"/>
      <c r="K91" s="727">
        <f>SUM(K93)</f>
        <v>1</v>
      </c>
      <c r="L91" s="1661">
        <f>SUM(L93:L93)</f>
        <v>0.28000000000000003</v>
      </c>
      <c r="M91" s="363">
        <f>SUM(M92)</f>
        <v>0</v>
      </c>
      <c r="N91" s="1661">
        <f>SUM(N92)</f>
        <v>0</v>
      </c>
      <c r="O91" s="3221">
        <f>+IF(Q91&gt;0,N91,"na")</f>
        <v>0</v>
      </c>
      <c r="P91" s="1669">
        <f>SUM(P92:P93)</f>
        <v>296738500</v>
      </c>
      <c r="Q91" s="1669">
        <f t="shared" ref="Q91:S91" si="28">SUM(Q92:Q93)</f>
        <v>296738500</v>
      </c>
      <c r="R91" s="1669">
        <f t="shared" si="28"/>
        <v>0</v>
      </c>
      <c r="S91" s="1669">
        <f t="shared" si="28"/>
        <v>0</v>
      </c>
      <c r="T91" s="861">
        <f t="shared" ref="T91:T99" si="29">+R91/Q91</f>
        <v>0</v>
      </c>
      <c r="U91" s="861">
        <v>0</v>
      </c>
      <c r="V91" s="860"/>
      <c r="W91" s="860"/>
      <c r="X91" s="320"/>
      <c r="Y91" s="3227" t="s">
        <v>3414</v>
      </c>
    </row>
    <row r="92" spans="1:25" ht="67.5">
      <c r="A92" s="3229"/>
      <c r="B92" s="2935"/>
      <c r="C92" s="2935"/>
      <c r="D92" s="2973"/>
      <c r="E92" s="734" t="s">
        <v>3422</v>
      </c>
      <c r="F92" s="492"/>
      <c r="G92" s="482" t="s">
        <v>3419</v>
      </c>
      <c r="H92" s="492">
        <v>130</v>
      </c>
      <c r="I92" s="486" t="s">
        <v>3423</v>
      </c>
      <c r="J92" s="486" t="s">
        <v>106</v>
      </c>
      <c r="K92" s="363">
        <v>130</v>
      </c>
      <c r="L92" s="1661">
        <v>0.72</v>
      </c>
      <c r="M92" s="363">
        <v>0</v>
      </c>
      <c r="N92" s="1661">
        <v>0</v>
      </c>
      <c r="O92" s="3222"/>
      <c r="P92" s="1669">
        <v>209906889</v>
      </c>
      <c r="Q92" s="1669">
        <v>209906889</v>
      </c>
      <c r="R92" s="1669" t="s">
        <v>5449</v>
      </c>
      <c r="S92" s="1669" t="s">
        <v>5449</v>
      </c>
      <c r="T92" s="861">
        <v>0</v>
      </c>
      <c r="U92" s="861">
        <v>0</v>
      </c>
      <c r="V92" s="859"/>
      <c r="W92" s="859"/>
      <c r="X92" s="320"/>
      <c r="Y92" s="3227"/>
    </row>
    <row r="93" spans="1:25" ht="54">
      <c r="A93" s="3229"/>
      <c r="B93" s="2935"/>
      <c r="C93" s="2935"/>
      <c r="D93" s="2973"/>
      <c r="E93" s="734" t="s">
        <v>3424</v>
      </c>
      <c r="F93" s="492"/>
      <c r="G93" s="482"/>
      <c r="H93" s="492"/>
      <c r="I93" s="486" t="s">
        <v>3425</v>
      </c>
      <c r="J93" s="486" t="s">
        <v>3426</v>
      </c>
      <c r="K93" s="363">
        <v>1</v>
      </c>
      <c r="L93" s="1661">
        <v>0.28000000000000003</v>
      </c>
      <c r="M93" s="363">
        <v>0</v>
      </c>
      <c r="N93" s="1661">
        <v>0</v>
      </c>
      <c r="O93" s="3228"/>
      <c r="P93" s="1669">
        <v>86831611</v>
      </c>
      <c r="Q93" s="1669">
        <v>86831611</v>
      </c>
      <c r="R93" s="1669" t="s">
        <v>5449</v>
      </c>
      <c r="S93" s="1669" t="s">
        <v>5449</v>
      </c>
      <c r="T93" s="861">
        <v>0</v>
      </c>
      <c r="U93" s="861">
        <v>0</v>
      </c>
      <c r="V93" s="859"/>
      <c r="W93" s="859"/>
      <c r="X93" s="320"/>
      <c r="Y93" s="3227"/>
    </row>
    <row r="94" spans="1:25" ht="16.5" customHeight="1">
      <c r="A94" s="3229">
        <v>4161</v>
      </c>
      <c r="B94" s="2935"/>
      <c r="C94" s="2935" t="s">
        <v>109</v>
      </c>
      <c r="D94" s="2973" t="s">
        <v>3427</v>
      </c>
      <c r="E94" s="734" t="s">
        <v>3428</v>
      </c>
      <c r="F94" s="492"/>
      <c r="G94" s="482"/>
      <c r="H94" s="492"/>
      <c r="I94" s="486"/>
      <c r="J94" s="486"/>
      <c r="K94" s="727">
        <f>SUM(K95)</f>
        <v>100</v>
      </c>
      <c r="L94" s="1661">
        <f>SUM(L95:L95)</f>
        <v>1</v>
      </c>
      <c r="M94" s="363">
        <f>SUM(M95)</f>
        <v>0</v>
      </c>
      <c r="N94" s="1661">
        <f>SUM(N95)</f>
        <v>0</v>
      </c>
      <c r="O94" s="3215">
        <f>+IF(Q94&gt;0,N94,"na")</f>
        <v>0</v>
      </c>
      <c r="P94" s="1669">
        <f>SUM(P95)</f>
        <v>99739000</v>
      </c>
      <c r="Q94" s="1669">
        <f t="shared" ref="Q94:S94" si="30">SUM(Q95)</f>
        <v>99739000</v>
      </c>
      <c r="R94" s="1669">
        <f t="shared" si="30"/>
        <v>0</v>
      </c>
      <c r="S94" s="1669">
        <f t="shared" si="30"/>
        <v>0</v>
      </c>
      <c r="T94" s="861">
        <f t="shared" si="29"/>
        <v>0</v>
      </c>
      <c r="U94" s="861">
        <v>0</v>
      </c>
      <c r="V94" s="860"/>
      <c r="W94" s="860"/>
      <c r="X94" s="320"/>
      <c r="Y94" s="3227" t="s">
        <v>3414</v>
      </c>
    </row>
    <row r="95" spans="1:25" ht="67.5">
      <c r="A95" s="3229"/>
      <c r="B95" s="2935"/>
      <c r="C95" s="2935"/>
      <c r="D95" s="2973"/>
      <c r="E95" s="734" t="s">
        <v>3429</v>
      </c>
      <c r="F95" s="492"/>
      <c r="G95" s="482" t="s">
        <v>3419</v>
      </c>
      <c r="H95" s="492">
        <v>100</v>
      </c>
      <c r="I95" s="486" t="s">
        <v>3430</v>
      </c>
      <c r="J95" s="486" t="s">
        <v>3431</v>
      </c>
      <c r="K95" s="363">
        <v>100</v>
      </c>
      <c r="L95" s="1661">
        <v>1</v>
      </c>
      <c r="M95" s="363">
        <v>0</v>
      </c>
      <c r="N95" s="1661">
        <v>0</v>
      </c>
      <c r="O95" s="3215"/>
      <c r="P95" s="1669">
        <v>99739000</v>
      </c>
      <c r="Q95" s="1669">
        <v>99739000</v>
      </c>
      <c r="R95" s="1669" t="s">
        <v>5449</v>
      </c>
      <c r="S95" s="1669" t="s">
        <v>5449</v>
      </c>
      <c r="T95" s="861">
        <v>0</v>
      </c>
      <c r="U95" s="861">
        <v>0</v>
      </c>
      <c r="V95" s="859"/>
      <c r="W95" s="859"/>
      <c r="X95" s="320"/>
      <c r="Y95" s="3227"/>
    </row>
    <row r="96" spans="1:25" ht="16.5" customHeight="1">
      <c r="A96" s="3229">
        <v>4161</v>
      </c>
      <c r="B96" s="2935"/>
      <c r="C96" s="2935" t="s">
        <v>109</v>
      </c>
      <c r="D96" s="2973" t="s">
        <v>3432</v>
      </c>
      <c r="E96" s="734" t="s">
        <v>3433</v>
      </c>
      <c r="F96" s="492"/>
      <c r="G96" s="482"/>
      <c r="H96" s="492"/>
      <c r="I96" s="486"/>
      <c r="J96" s="486"/>
      <c r="K96" s="727">
        <f>SUM(K97)</f>
        <v>390</v>
      </c>
      <c r="L96" s="1661">
        <f>SUM(L97:L98)</f>
        <v>1</v>
      </c>
      <c r="M96" s="363">
        <f>SUM(M97)</f>
        <v>0</v>
      </c>
      <c r="N96" s="1661">
        <f>SUM(N97)</f>
        <v>0</v>
      </c>
      <c r="O96" s="3221" t="str">
        <f>+IF(Q96&gt;0,N96,"na")</f>
        <v>na</v>
      </c>
      <c r="P96" s="1669">
        <f>SUM(P97:P98)</f>
        <v>2424438520</v>
      </c>
      <c r="Q96" s="1669">
        <f t="shared" ref="Q96:S96" si="31">SUM(Q97:Q98)</f>
        <v>0</v>
      </c>
      <c r="R96" s="1669">
        <f t="shared" si="31"/>
        <v>0</v>
      </c>
      <c r="S96" s="1669">
        <f t="shared" si="31"/>
        <v>0</v>
      </c>
      <c r="T96" s="861" t="e">
        <f t="shared" si="29"/>
        <v>#DIV/0!</v>
      </c>
      <c r="U96" s="861">
        <v>0</v>
      </c>
      <c r="V96" s="860"/>
      <c r="W96" s="860"/>
      <c r="X96" s="320"/>
      <c r="Y96" s="3227" t="s">
        <v>3414</v>
      </c>
    </row>
    <row r="97" spans="1:25" ht="67.5">
      <c r="A97" s="3229"/>
      <c r="B97" s="2935"/>
      <c r="C97" s="2935"/>
      <c r="D97" s="2973"/>
      <c r="E97" s="734" t="s">
        <v>3434</v>
      </c>
      <c r="F97" s="492"/>
      <c r="G97" s="482" t="s">
        <v>3419</v>
      </c>
      <c r="H97" s="492">
        <v>390</v>
      </c>
      <c r="I97" s="486" t="s">
        <v>3435</v>
      </c>
      <c r="J97" s="486" t="s">
        <v>3431</v>
      </c>
      <c r="K97" s="363">
        <v>390</v>
      </c>
      <c r="L97" s="1661">
        <v>0.9</v>
      </c>
      <c r="M97" s="363">
        <v>0</v>
      </c>
      <c r="N97" s="1661">
        <v>0</v>
      </c>
      <c r="O97" s="3222"/>
      <c r="P97" s="1669">
        <v>2327781769</v>
      </c>
      <c r="Q97" s="1669" t="s">
        <v>5464</v>
      </c>
      <c r="R97" s="1669" t="s">
        <v>5449</v>
      </c>
      <c r="S97" s="1669">
        <v>0</v>
      </c>
      <c r="T97" s="861">
        <v>0</v>
      </c>
      <c r="U97" s="861">
        <v>0</v>
      </c>
      <c r="V97" s="859"/>
      <c r="W97" s="859"/>
      <c r="X97" s="320"/>
      <c r="Y97" s="3227"/>
    </row>
    <row r="98" spans="1:25" ht="67.5">
      <c r="A98" s="3229"/>
      <c r="B98" s="2935"/>
      <c r="C98" s="2935"/>
      <c r="D98" s="2973"/>
      <c r="E98" s="734" t="s">
        <v>3436</v>
      </c>
      <c r="F98" s="492"/>
      <c r="G98" s="183"/>
      <c r="H98" s="743"/>
      <c r="I98" s="486" t="s">
        <v>3437</v>
      </c>
      <c r="J98" s="486" t="s">
        <v>3438</v>
      </c>
      <c r="K98" s="363">
        <v>1</v>
      </c>
      <c r="L98" s="1661">
        <v>0.1</v>
      </c>
      <c r="M98" s="363">
        <v>0</v>
      </c>
      <c r="N98" s="1661">
        <v>0</v>
      </c>
      <c r="O98" s="3228"/>
      <c r="P98" s="1669">
        <v>96656751</v>
      </c>
      <c r="Q98" s="1669" t="s">
        <v>5464</v>
      </c>
      <c r="R98" s="1669" t="s">
        <v>5449</v>
      </c>
      <c r="S98" s="1669">
        <v>0</v>
      </c>
      <c r="T98" s="861">
        <v>0</v>
      </c>
      <c r="U98" s="861">
        <v>0</v>
      </c>
      <c r="V98" s="859"/>
      <c r="W98" s="859"/>
      <c r="X98" s="320"/>
      <c r="Y98" s="3227"/>
    </row>
    <row r="99" spans="1:25" ht="16.5" customHeight="1">
      <c r="A99" s="3229">
        <v>4161</v>
      </c>
      <c r="B99" s="2935"/>
      <c r="C99" s="2935" t="s">
        <v>109</v>
      </c>
      <c r="D99" s="2973" t="s">
        <v>3439</v>
      </c>
      <c r="E99" s="734" t="s">
        <v>3440</v>
      </c>
      <c r="F99" s="492"/>
      <c r="G99" s="482"/>
      <c r="H99" s="492"/>
      <c r="I99" s="486"/>
      <c r="J99" s="486"/>
      <c r="K99" s="727">
        <f>SUM(K100)</f>
        <v>100</v>
      </c>
      <c r="L99" s="1661">
        <f>SUM(L100)</f>
        <v>1</v>
      </c>
      <c r="M99" s="363">
        <f>SUM(M100)</f>
        <v>0</v>
      </c>
      <c r="N99" s="1661">
        <f>SUM(N100)</f>
        <v>0</v>
      </c>
      <c r="O99" s="3215">
        <f>+IF(Q99&gt;0,N99,"na")</f>
        <v>0</v>
      </c>
      <c r="P99" s="1669">
        <f>SUM(P100)</f>
        <v>200456800</v>
      </c>
      <c r="Q99" s="1669">
        <f t="shared" ref="Q99:S101" si="32">SUM(Q100)</f>
        <v>200456800</v>
      </c>
      <c r="R99" s="1669">
        <f t="shared" si="32"/>
        <v>0</v>
      </c>
      <c r="S99" s="1669">
        <f t="shared" si="32"/>
        <v>0</v>
      </c>
      <c r="T99" s="861">
        <f t="shared" si="29"/>
        <v>0</v>
      </c>
      <c r="U99" s="861">
        <v>0</v>
      </c>
      <c r="V99" s="860"/>
      <c r="W99" s="860"/>
      <c r="X99" s="320"/>
      <c r="Y99" s="3227" t="s">
        <v>3414</v>
      </c>
    </row>
    <row r="100" spans="1:25" ht="67.5">
      <c r="A100" s="3229"/>
      <c r="B100" s="2935"/>
      <c r="C100" s="2935"/>
      <c r="D100" s="2973"/>
      <c r="E100" s="734" t="s">
        <v>3441</v>
      </c>
      <c r="F100" s="492"/>
      <c r="G100" s="482" t="s">
        <v>3419</v>
      </c>
      <c r="H100" s="492">
        <v>100</v>
      </c>
      <c r="I100" s="486" t="s">
        <v>3430</v>
      </c>
      <c r="J100" s="486" t="s">
        <v>3431</v>
      </c>
      <c r="K100" s="363">
        <v>100</v>
      </c>
      <c r="L100" s="1661">
        <v>1</v>
      </c>
      <c r="M100" s="363">
        <v>0</v>
      </c>
      <c r="N100" s="1661">
        <v>0</v>
      </c>
      <c r="O100" s="3215"/>
      <c r="P100" s="1669">
        <v>200456800</v>
      </c>
      <c r="Q100" s="1669">
        <v>200456800</v>
      </c>
      <c r="R100" s="1669" t="s">
        <v>5449</v>
      </c>
      <c r="S100" s="1669" t="s">
        <v>5449</v>
      </c>
      <c r="T100" s="861">
        <v>0</v>
      </c>
      <c r="U100" s="861">
        <v>0</v>
      </c>
      <c r="V100" s="859"/>
      <c r="W100" s="859"/>
      <c r="X100" s="320"/>
      <c r="Y100" s="3227"/>
    </row>
    <row r="101" spans="1:25">
      <c r="A101" s="3229">
        <v>4161</v>
      </c>
      <c r="B101" s="2935"/>
      <c r="C101" s="2935" t="s">
        <v>109</v>
      </c>
      <c r="D101" s="2973" t="s">
        <v>5465</v>
      </c>
      <c r="E101" s="734" t="s">
        <v>5466</v>
      </c>
      <c r="F101" s="492"/>
      <c r="G101" s="482"/>
      <c r="H101" s="492"/>
      <c r="I101" s="486"/>
      <c r="J101" s="486"/>
      <c r="K101" s="727">
        <f>SUM(K102)</f>
        <v>2</v>
      </c>
      <c r="L101" s="1661">
        <f>SUM(L102)</f>
        <v>1</v>
      </c>
      <c r="M101" s="363">
        <f>SUM(M102)</f>
        <v>0</v>
      </c>
      <c r="N101" s="1661">
        <f>SUM(N102)</f>
        <v>0.1</v>
      </c>
      <c r="O101" s="3215">
        <f>+IF(Q101&gt;0,N101,"na")</f>
        <v>0.1</v>
      </c>
      <c r="P101" s="1669">
        <f>SUM(P102)</f>
        <v>0</v>
      </c>
      <c r="Q101" s="1669">
        <f t="shared" si="32"/>
        <v>4424438520</v>
      </c>
      <c r="R101" s="1669">
        <f t="shared" si="32"/>
        <v>96436000</v>
      </c>
      <c r="S101" s="1669">
        <f t="shared" si="32"/>
        <v>7229000</v>
      </c>
      <c r="T101" s="861">
        <f t="shared" ref="T101:T102" si="33">+R101/Q101</f>
        <v>2.1796212008388355E-2</v>
      </c>
      <c r="U101" s="861">
        <v>0</v>
      </c>
      <c r="V101" s="860"/>
      <c r="W101" s="860"/>
      <c r="X101" s="320"/>
      <c r="Y101" s="3227" t="s">
        <v>3414</v>
      </c>
    </row>
    <row r="102" spans="1:25" ht="175.5">
      <c r="A102" s="3229"/>
      <c r="B102" s="2935"/>
      <c r="C102" s="2935"/>
      <c r="D102" s="2973"/>
      <c r="E102" s="734" t="s">
        <v>5467</v>
      </c>
      <c r="F102" s="492"/>
      <c r="G102" s="482" t="s">
        <v>3419</v>
      </c>
      <c r="H102" s="492">
        <v>900</v>
      </c>
      <c r="I102" s="486" t="s">
        <v>5468</v>
      </c>
      <c r="J102" s="486" t="s">
        <v>3383</v>
      </c>
      <c r="K102" s="363">
        <v>2</v>
      </c>
      <c r="L102" s="1661">
        <v>1</v>
      </c>
      <c r="M102" s="363">
        <v>0</v>
      </c>
      <c r="N102" s="1661">
        <v>0.1</v>
      </c>
      <c r="O102" s="3215"/>
      <c r="P102" s="1669">
        <v>0</v>
      </c>
      <c r="Q102" s="1669">
        <v>4424438520</v>
      </c>
      <c r="R102" s="1669">
        <v>96436000</v>
      </c>
      <c r="S102" s="1669">
        <v>7229000</v>
      </c>
      <c r="T102" s="861">
        <f t="shared" si="33"/>
        <v>2.1796212008388355E-2</v>
      </c>
      <c r="U102" s="861">
        <v>0</v>
      </c>
      <c r="V102" s="859">
        <v>45400</v>
      </c>
      <c r="W102" s="859">
        <v>45657</v>
      </c>
      <c r="X102" s="320" t="s">
        <v>5469</v>
      </c>
      <c r="Y102" s="3227"/>
    </row>
    <row r="103" spans="1:25" ht="16.5" customHeight="1">
      <c r="A103" s="1683"/>
      <c r="B103" s="511">
        <v>5202011</v>
      </c>
      <c r="C103" s="511" t="s">
        <v>102</v>
      </c>
      <c r="D103" s="512" t="s">
        <v>3442</v>
      </c>
      <c r="E103" s="745"/>
      <c r="F103" s="492"/>
      <c r="G103" s="183"/>
      <c r="H103" s="492"/>
      <c r="I103" s="721"/>
      <c r="J103" s="721"/>
      <c r="K103" s="189"/>
      <c r="L103" s="1664"/>
      <c r="M103" s="363"/>
      <c r="N103" s="1661"/>
      <c r="O103" s="714"/>
      <c r="P103" s="1234"/>
      <c r="Q103" s="860"/>
      <c r="R103" s="860"/>
      <c r="S103" s="860"/>
      <c r="T103" s="860"/>
      <c r="U103" s="860"/>
      <c r="V103" s="859"/>
      <c r="W103" s="859"/>
      <c r="X103" s="320"/>
      <c r="Y103" s="1684"/>
    </row>
    <row r="104" spans="1:25" ht="25.5">
      <c r="A104" s="1681"/>
      <c r="B104" s="725">
        <v>52020110004</v>
      </c>
      <c r="C104" s="725" t="s">
        <v>103</v>
      </c>
      <c r="D104" s="502" t="s">
        <v>3443</v>
      </c>
      <c r="E104" s="744"/>
      <c r="F104" s="492"/>
      <c r="G104" s="490"/>
      <c r="H104" s="492">
        <f>+H106</f>
        <v>2726</v>
      </c>
      <c r="I104" s="364"/>
      <c r="J104" s="364"/>
      <c r="K104" s="1688"/>
      <c r="L104" s="1667"/>
      <c r="M104" s="363"/>
      <c r="N104" s="1661"/>
      <c r="O104" s="714"/>
      <c r="P104" s="1689"/>
      <c r="Q104" s="860"/>
      <c r="R104" s="860"/>
      <c r="S104" s="860"/>
      <c r="T104" s="860"/>
      <c r="U104" s="860"/>
      <c r="V104" s="859"/>
      <c r="W104" s="859"/>
      <c r="X104" s="320"/>
      <c r="Y104" s="1690"/>
    </row>
    <row r="105" spans="1:25">
      <c r="A105" s="3229">
        <v>4161</v>
      </c>
      <c r="B105" s="2935"/>
      <c r="C105" s="2935" t="s">
        <v>109</v>
      </c>
      <c r="D105" s="2973" t="s">
        <v>3444</v>
      </c>
      <c r="E105" s="734" t="s">
        <v>3445</v>
      </c>
      <c r="F105" s="492"/>
      <c r="G105" s="482"/>
      <c r="H105" s="492"/>
      <c r="I105" s="486"/>
      <c r="J105" s="486"/>
      <c r="K105" s="727">
        <f>SUM(K106:K107)</f>
        <v>4</v>
      </c>
      <c r="L105" s="1661">
        <f>SUM(L106:L107)</f>
        <v>1</v>
      </c>
      <c r="M105" s="363">
        <f>SUM(M106)</f>
        <v>3</v>
      </c>
      <c r="N105" s="1661">
        <f>SUM(N106)</f>
        <v>0.67</v>
      </c>
      <c r="O105" s="3221">
        <f>+IF(Q105&gt;0,N105,"na")</f>
        <v>0.67</v>
      </c>
      <c r="P105" s="1669">
        <f>SUM(P106:P107)</f>
        <v>481945255</v>
      </c>
      <c r="Q105" s="1669">
        <f t="shared" ref="Q105:S105" si="34">SUM(Q106:Q107)</f>
        <v>481945255</v>
      </c>
      <c r="R105" s="1669">
        <f t="shared" si="34"/>
        <v>116034000</v>
      </c>
      <c r="S105" s="1669">
        <f t="shared" si="34"/>
        <v>28216000</v>
      </c>
      <c r="T105" s="861">
        <f>+R105/Q105</f>
        <v>0.24076178527787351</v>
      </c>
      <c r="U105" s="861">
        <v>0</v>
      </c>
      <c r="V105" s="859"/>
      <c r="W105" s="859"/>
      <c r="X105" s="320"/>
      <c r="Y105" s="3227" t="s">
        <v>3292</v>
      </c>
    </row>
    <row r="106" spans="1:25" ht="108">
      <c r="A106" s="3229"/>
      <c r="B106" s="2935"/>
      <c r="C106" s="2935"/>
      <c r="D106" s="2973"/>
      <c r="E106" s="734" t="s">
        <v>3446</v>
      </c>
      <c r="F106" s="3234"/>
      <c r="G106" s="748" t="s">
        <v>3443</v>
      </c>
      <c r="H106" s="492">
        <v>2726</v>
      </c>
      <c r="I106" s="486" t="s">
        <v>3447</v>
      </c>
      <c r="J106" s="486" t="s">
        <v>3448</v>
      </c>
      <c r="K106" s="363">
        <v>3</v>
      </c>
      <c r="L106" s="1661">
        <v>0.8</v>
      </c>
      <c r="M106" s="363">
        <v>3</v>
      </c>
      <c r="N106" s="1661">
        <v>0.67</v>
      </c>
      <c r="O106" s="3222"/>
      <c r="P106" s="1669">
        <v>313243000</v>
      </c>
      <c r="Q106" s="1669">
        <v>313243000</v>
      </c>
      <c r="R106" s="1669">
        <v>116034000</v>
      </c>
      <c r="S106" s="1669">
        <v>28216000</v>
      </c>
      <c r="T106" s="861">
        <f>+R106/Q106</f>
        <v>0.37042807022024432</v>
      </c>
      <c r="U106" s="861">
        <v>0</v>
      </c>
      <c r="V106" s="859">
        <v>45400</v>
      </c>
      <c r="W106" s="859">
        <v>45657</v>
      </c>
      <c r="X106" s="320" t="s">
        <v>5470</v>
      </c>
      <c r="Y106" s="3227"/>
    </row>
    <row r="107" spans="1:25" ht="40.5">
      <c r="A107" s="3229"/>
      <c r="B107" s="2935"/>
      <c r="C107" s="2935"/>
      <c r="D107" s="2973"/>
      <c r="E107" s="734" t="s">
        <v>3449</v>
      </c>
      <c r="F107" s="3234"/>
      <c r="G107" s="748"/>
      <c r="H107" s="201"/>
      <c r="I107" s="486" t="s">
        <v>3450</v>
      </c>
      <c r="J107" s="486" t="s">
        <v>3451</v>
      </c>
      <c r="K107" s="363">
        <v>1</v>
      </c>
      <c r="L107" s="1661">
        <v>0.2</v>
      </c>
      <c r="M107" s="363">
        <v>0</v>
      </c>
      <c r="N107" s="1661">
        <v>0</v>
      </c>
      <c r="O107" s="3228"/>
      <c r="P107" s="1669">
        <v>168702255</v>
      </c>
      <c r="Q107" s="1669">
        <v>168702255</v>
      </c>
      <c r="R107" s="1669" t="s">
        <v>5449</v>
      </c>
      <c r="S107" s="1669" t="s">
        <v>5449</v>
      </c>
      <c r="T107" s="861">
        <v>0</v>
      </c>
      <c r="U107" s="861">
        <v>0</v>
      </c>
      <c r="V107" s="859"/>
      <c r="W107" s="859"/>
      <c r="X107" s="320"/>
      <c r="Y107" s="3227"/>
    </row>
    <row r="108" spans="1:25">
      <c r="A108" s="1685"/>
      <c r="B108" s="499">
        <v>5203</v>
      </c>
      <c r="C108" s="499" t="s">
        <v>101</v>
      </c>
      <c r="D108" s="500" t="s">
        <v>149</v>
      </c>
      <c r="E108" s="746"/>
      <c r="F108" s="492"/>
      <c r="G108" s="183"/>
      <c r="H108" s="492"/>
      <c r="I108" s="713"/>
      <c r="J108" s="737"/>
      <c r="K108" s="493"/>
      <c r="L108" s="1660"/>
      <c r="M108" s="363"/>
      <c r="N108" s="1661"/>
      <c r="O108" s="714"/>
      <c r="P108" s="1686"/>
      <c r="Q108" s="860"/>
      <c r="R108" s="860"/>
      <c r="S108" s="860"/>
      <c r="T108" s="860"/>
      <c r="U108" s="860"/>
      <c r="V108" s="859"/>
      <c r="W108" s="859"/>
      <c r="X108" s="320"/>
      <c r="Y108" s="1687"/>
    </row>
    <row r="109" spans="1:25" ht="16.5" customHeight="1">
      <c r="A109" s="1683"/>
      <c r="B109" s="511">
        <v>5203007</v>
      </c>
      <c r="C109" s="511" t="s">
        <v>102</v>
      </c>
      <c r="D109" s="512" t="s">
        <v>3452</v>
      </c>
      <c r="E109" s="745"/>
      <c r="F109" s="492"/>
      <c r="G109" s="183"/>
      <c r="H109" s="492"/>
      <c r="I109" s="721"/>
      <c r="J109" s="721"/>
      <c r="K109" s="189"/>
      <c r="L109" s="1664"/>
      <c r="M109" s="363"/>
      <c r="N109" s="1661"/>
      <c r="O109" s="714"/>
      <c r="P109" s="1234"/>
      <c r="Q109" s="860"/>
      <c r="R109" s="860"/>
      <c r="S109" s="860"/>
      <c r="T109" s="860"/>
      <c r="U109" s="860"/>
      <c r="V109" s="859"/>
      <c r="W109" s="859"/>
      <c r="X109" s="320"/>
      <c r="Y109" s="1684"/>
    </row>
    <row r="110" spans="1:25" ht="25.5">
      <c r="A110" s="1681"/>
      <c r="B110" s="725">
        <v>52030070006</v>
      </c>
      <c r="C110" s="725" t="s">
        <v>103</v>
      </c>
      <c r="D110" s="502" t="s">
        <v>3453</v>
      </c>
      <c r="E110" s="744"/>
      <c r="F110" s="492"/>
      <c r="G110" s="749"/>
      <c r="H110" s="492">
        <f>+H112</f>
        <v>150</v>
      </c>
      <c r="I110" s="364"/>
      <c r="J110" s="364"/>
      <c r="K110" s="1688"/>
      <c r="L110" s="1667"/>
      <c r="M110" s="363"/>
      <c r="N110" s="1661"/>
      <c r="O110" s="714"/>
      <c r="P110" s="1689"/>
      <c r="Q110" s="860"/>
      <c r="R110" s="860"/>
      <c r="S110" s="860"/>
      <c r="T110" s="860"/>
      <c r="U110" s="860"/>
      <c r="V110" s="859"/>
      <c r="W110" s="859"/>
      <c r="X110" s="320"/>
      <c r="Y110" s="1690"/>
    </row>
    <row r="111" spans="1:25">
      <c r="A111" s="3229">
        <v>4161</v>
      </c>
      <c r="B111" s="2935"/>
      <c r="C111" s="2935" t="s">
        <v>109</v>
      </c>
      <c r="D111" s="2973" t="s">
        <v>3454</v>
      </c>
      <c r="E111" s="734" t="s">
        <v>3455</v>
      </c>
      <c r="F111" s="492"/>
      <c r="G111" s="482"/>
      <c r="H111" s="492"/>
      <c r="I111" s="486"/>
      <c r="J111" s="486"/>
      <c r="K111" s="727">
        <f>SUM(K112)</f>
        <v>150</v>
      </c>
      <c r="L111" s="1661">
        <f>SUM(L112:L113)</f>
        <v>1</v>
      </c>
      <c r="M111" s="363">
        <f>SUM(M112:M113)</f>
        <v>187</v>
      </c>
      <c r="N111" s="1661">
        <f>SUM(N112:N113)</f>
        <v>1</v>
      </c>
      <c r="O111" s="3221">
        <f>+IF(Q111&gt;0,N111,"na")</f>
        <v>1</v>
      </c>
      <c r="P111" s="1669">
        <f>SUM(P112:P113)</f>
        <v>3160759900</v>
      </c>
      <c r="Q111" s="1669">
        <f t="shared" ref="Q111:S111" si="35">SUM(Q112:Q113)</f>
        <v>841886240</v>
      </c>
      <c r="R111" s="1669">
        <f t="shared" si="35"/>
        <v>826301000</v>
      </c>
      <c r="S111" s="1669">
        <f t="shared" si="35"/>
        <v>543311000</v>
      </c>
      <c r="T111" s="861">
        <f>+R111/Q111</f>
        <v>0.98148771263918033</v>
      </c>
      <c r="U111" s="861">
        <f>+S111/R111</f>
        <v>0.65752189577405817</v>
      </c>
      <c r="V111" s="860"/>
      <c r="W111" s="860"/>
      <c r="X111" s="320"/>
      <c r="Y111" s="3227" t="s">
        <v>3274</v>
      </c>
    </row>
    <row r="112" spans="1:25" ht="16.5" customHeight="1">
      <c r="A112" s="3229"/>
      <c r="B112" s="2935"/>
      <c r="C112" s="2935"/>
      <c r="D112" s="2973"/>
      <c r="E112" s="734" t="s">
        <v>3456</v>
      </c>
      <c r="F112" s="492"/>
      <c r="G112" s="482" t="s">
        <v>3453</v>
      </c>
      <c r="H112" s="492">
        <v>150</v>
      </c>
      <c r="I112" s="486" t="s">
        <v>3457</v>
      </c>
      <c r="J112" s="486" t="s">
        <v>3458</v>
      </c>
      <c r="K112" s="363">
        <v>150</v>
      </c>
      <c r="L112" s="1661">
        <v>1</v>
      </c>
      <c r="M112" s="363">
        <v>187</v>
      </c>
      <c r="N112" s="1661">
        <v>1</v>
      </c>
      <c r="O112" s="3222"/>
      <c r="P112" s="1669">
        <v>2930632000</v>
      </c>
      <c r="Q112" s="1669">
        <v>841886240</v>
      </c>
      <c r="R112" s="1669">
        <v>826301000</v>
      </c>
      <c r="S112" s="1669">
        <v>543311000</v>
      </c>
      <c r="T112" s="861">
        <f>+R112/Q112</f>
        <v>0.98148771263918033</v>
      </c>
      <c r="U112" s="861">
        <f>+S112/R112</f>
        <v>0.65752189577405817</v>
      </c>
      <c r="V112" s="859">
        <v>45309</v>
      </c>
      <c r="W112" s="859">
        <v>45657</v>
      </c>
      <c r="X112" s="320" t="s">
        <v>3459</v>
      </c>
      <c r="Y112" s="3227"/>
    </row>
    <row r="113" spans="1:25" ht="54">
      <c r="A113" s="3229"/>
      <c r="B113" s="2935"/>
      <c r="C113" s="2935"/>
      <c r="D113" s="2973"/>
      <c r="E113" s="734" t="s">
        <v>3460</v>
      </c>
      <c r="F113" s="492"/>
      <c r="G113" s="482"/>
      <c r="H113" s="492"/>
      <c r="I113" s="486" t="s">
        <v>3461</v>
      </c>
      <c r="J113" s="486" t="s">
        <v>3462</v>
      </c>
      <c r="K113" s="363">
        <v>1</v>
      </c>
      <c r="L113" s="1661">
        <v>0</v>
      </c>
      <c r="M113" s="363">
        <v>0</v>
      </c>
      <c r="N113" s="1661">
        <v>0</v>
      </c>
      <c r="O113" s="3222"/>
      <c r="P113" s="1669">
        <v>230127900</v>
      </c>
      <c r="Q113" s="1669" t="s">
        <v>5464</v>
      </c>
      <c r="R113" s="1669" t="s">
        <v>5449</v>
      </c>
      <c r="S113" s="1669" t="s">
        <v>5449</v>
      </c>
      <c r="T113" s="861">
        <v>0</v>
      </c>
      <c r="U113" s="861">
        <v>0</v>
      </c>
      <c r="V113" s="859"/>
      <c r="W113" s="859"/>
      <c r="X113" s="320"/>
      <c r="Y113" s="3227"/>
    </row>
    <row r="114" spans="1:25">
      <c r="A114" s="3229">
        <v>4161</v>
      </c>
      <c r="B114" s="2935"/>
      <c r="C114" s="2935" t="s">
        <v>109</v>
      </c>
      <c r="D114" s="2973" t="s">
        <v>3454</v>
      </c>
      <c r="E114" s="734" t="s">
        <v>3463</v>
      </c>
      <c r="F114" s="492"/>
      <c r="G114" s="482"/>
      <c r="H114" s="492"/>
      <c r="I114" s="486"/>
      <c r="J114" s="486"/>
      <c r="K114" s="727">
        <f>SUM(K115)</f>
        <v>650</v>
      </c>
      <c r="L114" s="1661">
        <f>SUM(L115:L116)</f>
        <v>1</v>
      </c>
      <c r="M114" s="363">
        <f>SUM(M115:M116)</f>
        <v>274</v>
      </c>
      <c r="N114" s="1661">
        <f>SUM(N115:N116)</f>
        <v>0.42153846153846153</v>
      </c>
      <c r="O114" s="3221">
        <f>+IF(Q114&gt;0,N114,"na")</f>
        <v>0.42153846153846153</v>
      </c>
      <c r="P114" s="1669">
        <f>SUM(P115:P116)</f>
        <v>0</v>
      </c>
      <c r="Q114" s="1669">
        <f t="shared" ref="Q114:S114" si="36">SUM(Q115:Q116)</f>
        <v>2318873660</v>
      </c>
      <c r="R114" s="1669">
        <f t="shared" si="36"/>
        <v>1335704000</v>
      </c>
      <c r="S114" s="1669">
        <f t="shared" si="36"/>
        <v>160388000</v>
      </c>
      <c r="T114" s="861">
        <f>+R114/Q114</f>
        <v>0.57601413265438528</v>
      </c>
      <c r="U114" s="861">
        <v>0</v>
      </c>
      <c r="V114" s="860"/>
      <c r="W114" s="860"/>
      <c r="X114" s="320"/>
      <c r="Y114" s="3227" t="s">
        <v>3274</v>
      </c>
    </row>
    <row r="115" spans="1:25" ht="81">
      <c r="A115" s="3229"/>
      <c r="B115" s="2935"/>
      <c r="C115" s="2935"/>
      <c r="D115" s="2973"/>
      <c r="E115" s="734" t="s">
        <v>3464</v>
      </c>
      <c r="F115" s="492"/>
      <c r="G115" s="482" t="s">
        <v>3453</v>
      </c>
      <c r="H115" s="492">
        <v>650</v>
      </c>
      <c r="I115" s="486" t="s">
        <v>3465</v>
      </c>
      <c r="J115" s="486" t="s">
        <v>3466</v>
      </c>
      <c r="K115" s="363">
        <v>650</v>
      </c>
      <c r="L115" s="1661">
        <v>0.85</v>
      </c>
      <c r="M115" s="363">
        <v>274</v>
      </c>
      <c r="N115" s="1661">
        <f>+M115/K115</f>
        <v>0.42153846153846153</v>
      </c>
      <c r="O115" s="3222"/>
      <c r="P115" s="1669">
        <v>0</v>
      </c>
      <c r="Q115" s="1669">
        <v>2114807160</v>
      </c>
      <c r="R115" s="1669">
        <v>1335704000</v>
      </c>
      <c r="S115" s="1669">
        <v>160388000</v>
      </c>
      <c r="T115" s="861">
        <f>+R115/Q115</f>
        <v>0.6315961215111453</v>
      </c>
      <c r="U115" s="861">
        <v>0</v>
      </c>
      <c r="V115" s="859">
        <v>45400</v>
      </c>
      <c r="W115" s="859">
        <v>45657</v>
      </c>
      <c r="X115" s="320" t="s">
        <v>5471</v>
      </c>
      <c r="Y115" s="3227"/>
    </row>
    <row r="116" spans="1:25" ht="16.5" customHeight="1">
      <c r="A116" s="3229"/>
      <c r="B116" s="2935"/>
      <c r="C116" s="2935"/>
      <c r="D116" s="2973"/>
      <c r="E116" s="734" t="s">
        <v>3467</v>
      </c>
      <c r="F116" s="492"/>
      <c r="G116" s="482"/>
      <c r="H116" s="492"/>
      <c r="I116" s="486" t="s">
        <v>3468</v>
      </c>
      <c r="J116" s="486" t="s">
        <v>106</v>
      </c>
      <c r="K116" s="363">
        <v>100</v>
      </c>
      <c r="L116" s="1661">
        <v>0.15</v>
      </c>
      <c r="M116" s="363">
        <v>0</v>
      </c>
      <c r="N116" s="1661">
        <v>0</v>
      </c>
      <c r="O116" s="3222"/>
      <c r="P116" s="1669">
        <v>0</v>
      </c>
      <c r="Q116" s="1669">
        <v>204066500</v>
      </c>
      <c r="R116" s="1669">
        <v>0</v>
      </c>
      <c r="S116" s="1669" t="s">
        <v>5449</v>
      </c>
      <c r="T116" s="861">
        <v>0</v>
      </c>
      <c r="U116" s="861">
        <v>0</v>
      </c>
      <c r="V116" s="859"/>
      <c r="W116" s="859"/>
      <c r="X116" s="320"/>
      <c r="Y116" s="3227"/>
    </row>
    <row r="117" spans="1:25" ht="25.5">
      <c r="A117" s="1681"/>
      <c r="B117" s="725">
        <v>52030070007</v>
      </c>
      <c r="C117" s="725" t="s">
        <v>103</v>
      </c>
      <c r="D117" s="502" t="s">
        <v>3469</v>
      </c>
      <c r="E117" s="744"/>
      <c r="F117" s="492"/>
      <c r="G117" s="482"/>
      <c r="H117" s="492">
        <f>+H119</f>
        <v>13</v>
      </c>
      <c r="I117" s="747"/>
      <c r="J117" s="364"/>
      <c r="K117" s="190"/>
      <c r="L117" s="1667"/>
      <c r="M117" s="363"/>
      <c r="N117" s="1661"/>
      <c r="O117" s="714"/>
      <c r="P117" s="1236"/>
      <c r="Q117" s="860"/>
      <c r="R117" s="860"/>
      <c r="S117" s="860"/>
      <c r="T117" s="860"/>
      <c r="U117" s="860"/>
      <c r="V117" s="859"/>
      <c r="W117" s="859"/>
      <c r="X117" s="320"/>
      <c r="Y117" s="1682"/>
    </row>
    <row r="118" spans="1:25">
      <c r="A118" s="3229">
        <v>4161</v>
      </c>
      <c r="B118" s="2935"/>
      <c r="C118" s="2935" t="s">
        <v>109</v>
      </c>
      <c r="D118" s="2948" t="s">
        <v>3470</v>
      </c>
      <c r="E118" s="750" t="s">
        <v>3471</v>
      </c>
      <c r="F118" s="492"/>
      <c r="G118" s="482"/>
      <c r="H118" s="492"/>
      <c r="I118" s="482"/>
      <c r="J118" s="482"/>
      <c r="K118" s="727">
        <f>SUM(K119)</f>
        <v>13</v>
      </c>
      <c r="L118" s="1661">
        <f>SUM(L119)</f>
        <v>1</v>
      </c>
      <c r="M118" s="363">
        <f>SUM(M119)</f>
        <v>17</v>
      </c>
      <c r="N118" s="1661">
        <f>SUM(N119)</f>
        <v>1</v>
      </c>
      <c r="O118" s="3215">
        <f>+IF(Q118&gt;0,N118,"na")</f>
        <v>1</v>
      </c>
      <c r="P118" s="732">
        <f>SUM(P119:P119)</f>
        <v>230915000</v>
      </c>
      <c r="Q118" s="732">
        <f t="shared" ref="Q118:S118" si="37">SUM(Q119:Q119)</f>
        <v>513267000</v>
      </c>
      <c r="R118" s="732">
        <f t="shared" si="37"/>
        <v>142976000</v>
      </c>
      <c r="S118" s="732">
        <f t="shared" si="37"/>
        <v>42976000</v>
      </c>
      <c r="T118" s="861">
        <f>+R118/Q118</f>
        <v>0.27856067115166183</v>
      </c>
      <c r="U118" s="861">
        <f>+S118/R118</f>
        <v>0.30058191584601612</v>
      </c>
      <c r="V118" s="860"/>
      <c r="W118" s="860"/>
      <c r="X118" s="320"/>
      <c r="Y118" s="3216" t="s">
        <v>3274</v>
      </c>
    </row>
    <row r="119" spans="1:25" ht="94.5">
      <c r="A119" s="3229"/>
      <c r="B119" s="2935"/>
      <c r="C119" s="2935"/>
      <c r="D119" s="2948"/>
      <c r="E119" s="750" t="s">
        <v>3472</v>
      </c>
      <c r="F119" s="492"/>
      <c r="G119" s="482" t="s">
        <v>3469</v>
      </c>
      <c r="H119" s="492">
        <v>13</v>
      </c>
      <c r="I119" s="482" t="s">
        <v>3473</v>
      </c>
      <c r="J119" s="482" t="s">
        <v>3474</v>
      </c>
      <c r="K119" s="363">
        <v>13</v>
      </c>
      <c r="L119" s="1661">
        <v>1</v>
      </c>
      <c r="M119" s="363">
        <v>17</v>
      </c>
      <c r="N119" s="1661">
        <v>1</v>
      </c>
      <c r="O119" s="3215"/>
      <c r="P119" s="1669">
        <v>230915000</v>
      </c>
      <c r="Q119" s="1669">
        <v>513267000</v>
      </c>
      <c r="R119" s="1669">
        <v>142976000</v>
      </c>
      <c r="S119" s="1669">
        <v>42976000</v>
      </c>
      <c r="T119" s="861">
        <f>+R119/Q119</f>
        <v>0.27856067115166183</v>
      </c>
      <c r="U119" s="861">
        <f>+S119/R119</f>
        <v>0.30058191584601612</v>
      </c>
      <c r="V119" s="859">
        <v>45383</v>
      </c>
      <c r="W119" s="859">
        <v>45657</v>
      </c>
      <c r="X119" s="320" t="s">
        <v>3475</v>
      </c>
      <c r="Y119" s="3216"/>
    </row>
    <row r="120" spans="1:25">
      <c r="A120" s="1685"/>
      <c r="B120" s="499">
        <v>53</v>
      </c>
      <c r="C120" s="499" t="s">
        <v>100</v>
      </c>
      <c r="D120" s="500" t="s">
        <v>3476</v>
      </c>
      <c r="E120" s="746"/>
      <c r="F120" s="492"/>
      <c r="G120" s="482"/>
      <c r="H120" s="492"/>
      <c r="I120" s="713"/>
      <c r="J120" s="737"/>
      <c r="K120" s="493"/>
      <c r="L120" s="1660"/>
      <c r="M120" s="363"/>
      <c r="N120" s="1661"/>
      <c r="O120" s="714"/>
      <c r="P120" s="1674"/>
      <c r="Q120" s="860"/>
      <c r="R120" s="860"/>
      <c r="S120" s="860"/>
      <c r="T120" s="860"/>
      <c r="U120" s="860"/>
      <c r="V120" s="859"/>
      <c r="W120" s="859"/>
      <c r="X120" s="320"/>
      <c r="Y120" s="1680"/>
    </row>
    <row r="121" spans="1:25">
      <c r="A121" s="1685"/>
      <c r="B121" s="499">
        <v>5301</v>
      </c>
      <c r="C121" s="499" t="s">
        <v>101</v>
      </c>
      <c r="D121" s="500" t="s">
        <v>248</v>
      </c>
      <c r="E121" s="746"/>
      <c r="F121" s="492"/>
      <c r="G121" s="482"/>
      <c r="H121" s="492"/>
      <c r="I121" s="713"/>
      <c r="J121" s="713"/>
      <c r="K121" s="493"/>
      <c r="L121" s="1660"/>
      <c r="M121" s="363"/>
      <c r="N121" s="1661"/>
      <c r="O121" s="714"/>
      <c r="P121" s="1674"/>
      <c r="Q121" s="860"/>
      <c r="R121" s="860"/>
      <c r="S121" s="860"/>
      <c r="T121" s="860"/>
      <c r="U121" s="860"/>
      <c r="V121" s="859"/>
      <c r="W121" s="859"/>
      <c r="X121" s="320"/>
      <c r="Y121" s="1680"/>
    </row>
    <row r="122" spans="1:25" ht="16.5" customHeight="1">
      <c r="A122" s="1683"/>
      <c r="B122" s="511">
        <v>5301003</v>
      </c>
      <c r="C122" s="511" t="s">
        <v>102</v>
      </c>
      <c r="D122" s="512" t="s">
        <v>3477</v>
      </c>
      <c r="E122" s="745"/>
      <c r="F122" s="492"/>
      <c r="G122" s="482"/>
      <c r="H122" s="492"/>
      <c r="I122" s="721"/>
      <c r="J122" s="361"/>
      <c r="K122" s="189"/>
      <c r="L122" s="1664"/>
      <c r="M122" s="363"/>
      <c r="N122" s="1661"/>
      <c r="O122" s="714"/>
      <c r="P122" s="1234"/>
      <c r="Q122" s="860"/>
      <c r="R122" s="860"/>
      <c r="S122" s="860"/>
      <c r="T122" s="860"/>
      <c r="U122" s="860"/>
      <c r="V122" s="859"/>
      <c r="W122" s="859"/>
      <c r="X122" s="320"/>
      <c r="Y122" s="1684"/>
    </row>
    <row r="123" spans="1:25">
      <c r="A123" s="1681"/>
      <c r="B123" s="725">
        <v>53010030005</v>
      </c>
      <c r="C123" s="725" t="s">
        <v>103</v>
      </c>
      <c r="D123" s="502" t="s">
        <v>3478</v>
      </c>
      <c r="E123" s="744"/>
      <c r="F123" s="492"/>
      <c r="G123" s="482"/>
      <c r="H123" s="492">
        <f>+H125</f>
        <v>648</v>
      </c>
      <c r="I123" s="747"/>
      <c r="J123" s="747"/>
      <c r="K123" s="190"/>
      <c r="L123" s="1667"/>
      <c r="M123" s="363"/>
      <c r="N123" s="1661"/>
      <c r="O123" s="714"/>
      <c r="P123" s="1236"/>
      <c r="Q123" s="860"/>
      <c r="R123" s="860"/>
      <c r="S123" s="860"/>
      <c r="T123" s="860"/>
      <c r="U123" s="860"/>
      <c r="V123" s="859"/>
      <c r="W123" s="859"/>
      <c r="X123" s="320"/>
      <c r="Y123" s="1682"/>
    </row>
    <row r="124" spans="1:25">
      <c r="A124" s="3229">
        <v>4161</v>
      </c>
      <c r="B124" s="2935"/>
      <c r="C124" s="2935" t="s">
        <v>109</v>
      </c>
      <c r="D124" s="2973" t="s">
        <v>3479</v>
      </c>
      <c r="E124" s="734" t="s">
        <v>3480</v>
      </c>
      <c r="F124" s="492"/>
      <c r="G124" s="182"/>
      <c r="H124" s="492"/>
      <c r="I124" s="482"/>
      <c r="J124" s="486"/>
      <c r="K124" s="727">
        <f>SUM(K125)</f>
        <v>32</v>
      </c>
      <c r="L124" s="1661">
        <f>SUM(L125)</f>
        <v>1</v>
      </c>
      <c r="M124" s="363">
        <f>SUM(M125)</f>
        <v>1</v>
      </c>
      <c r="N124" s="1661">
        <f>SUM(N125)</f>
        <v>0.02</v>
      </c>
      <c r="O124" s="3215">
        <f>+IF(Q124&gt;0,N124,"na")</f>
        <v>0.02</v>
      </c>
      <c r="P124" s="1691">
        <f>SUM(P125:P125)</f>
        <v>1498365249</v>
      </c>
      <c r="Q124" s="1691">
        <f t="shared" ref="Q124:S124" si="38">SUM(Q125:Q125)</f>
        <v>1498365249</v>
      </c>
      <c r="R124" s="1691">
        <f t="shared" si="38"/>
        <v>851116000</v>
      </c>
      <c r="S124" s="1691">
        <f t="shared" si="38"/>
        <v>180082085</v>
      </c>
      <c r="T124" s="861">
        <f>+R124/Q124</f>
        <v>0.5680297247737357</v>
      </c>
      <c r="U124" s="861">
        <f>+S124/R124</f>
        <v>0.2115834798076878</v>
      </c>
      <c r="V124" s="860"/>
      <c r="W124" s="860"/>
      <c r="X124" s="320"/>
      <c r="Y124" s="3216" t="s">
        <v>3292</v>
      </c>
    </row>
    <row r="125" spans="1:25" ht="189">
      <c r="A125" s="3229"/>
      <c r="B125" s="2935"/>
      <c r="C125" s="2935"/>
      <c r="D125" s="2973"/>
      <c r="E125" s="734" t="s">
        <v>3481</v>
      </c>
      <c r="F125" s="492"/>
      <c r="G125" s="748" t="s">
        <v>3478</v>
      </c>
      <c r="H125" s="492">
        <v>648</v>
      </c>
      <c r="I125" s="482" t="s">
        <v>3482</v>
      </c>
      <c r="J125" s="482" t="s">
        <v>3483</v>
      </c>
      <c r="K125" s="363">
        <v>32</v>
      </c>
      <c r="L125" s="1661">
        <v>1</v>
      </c>
      <c r="M125" s="363">
        <v>1</v>
      </c>
      <c r="N125" s="1661">
        <v>0.02</v>
      </c>
      <c r="O125" s="3215"/>
      <c r="P125" s="1669">
        <v>1498365249</v>
      </c>
      <c r="Q125" s="1669">
        <v>1498365249</v>
      </c>
      <c r="R125" s="1669">
        <v>851116000</v>
      </c>
      <c r="S125" s="1669">
        <v>180082085</v>
      </c>
      <c r="T125" s="861">
        <f>+R125/Q125</f>
        <v>0.5680297247737357</v>
      </c>
      <c r="U125" s="861">
        <f>+S125/R125</f>
        <v>0.2115834798076878</v>
      </c>
      <c r="V125" s="859">
        <v>45383</v>
      </c>
      <c r="W125" s="859">
        <v>45657</v>
      </c>
      <c r="X125" s="320" t="s">
        <v>5472</v>
      </c>
      <c r="Y125" s="3216"/>
    </row>
    <row r="126" spans="1:25">
      <c r="A126" s="1685"/>
      <c r="B126" s="499">
        <v>5305</v>
      </c>
      <c r="C126" s="499" t="s">
        <v>101</v>
      </c>
      <c r="D126" s="500" t="s">
        <v>955</v>
      </c>
      <c r="E126" s="746"/>
      <c r="F126" s="751"/>
      <c r="G126" s="712"/>
      <c r="H126" s="492"/>
      <c r="I126" s="713"/>
      <c r="J126" s="713"/>
      <c r="K126" s="493"/>
      <c r="L126" s="1660"/>
      <c r="M126" s="363"/>
      <c r="N126" s="1661"/>
      <c r="O126" s="714"/>
      <c r="P126" s="1686"/>
      <c r="Q126" s="860"/>
      <c r="R126" s="860"/>
      <c r="S126" s="860"/>
      <c r="T126" s="860"/>
      <c r="U126" s="860"/>
      <c r="V126" s="859"/>
      <c r="W126" s="859"/>
      <c r="X126" s="320"/>
      <c r="Y126" s="1692"/>
    </row>
    <row r="127" spans="1:25" ht="16.5" customHeight="1">
      <c r="A127" s="1683"/>
      <c r="B127" s="511">
        <v>5305002</v>
      </c>
      <c r="C127" s="511" t="s">
        <v>102</v>
      </c>
      <c r="D127" s="512" t="s">
        <v>3484</v>
      </c>
      <c r="E127" s="745"/>
      <c r="F127" s="492"/>
      <c r="G127" s="482"/>
      <c r="H127" s="492"/>
      <c r="I127" s="721"/>
      <c r="J127" s="361"/>
      <c r="K127" s="189"/>
      <c r="L127" s="1664"/>
      <c r="M127" s="363"/>
      <c r="N127" s="1661"/>
      <c r="O127" s="714"/>
      <c r="P127" s="1234"/>
      <c r="Q127" s="860"/>
      <c r="R127" s="860"/>
      <c r="S127" s="860"/>
      <c r="T127" s="860"/>
      <c r="U127" s="860"/>
      <c r="V127" s="859"/>
      <c r="W127" s="859"/>
      <c r="X127" s="320"/>
      <c r="Y127" s="1684"/>
    </row>
    <row r="128" spans="1:25">
      <c r="A128" s="1681"/>
      <c r="B128" s="725">
        <v>53050020012</v>
      </c>
      <c r="C128" s="725" t="s">
        <v>103</v>
      </c>
      <c r="D128" s="502" t="s">
        <v>3485</v>
      </c>
      <c r="E128" s="744"/>
      <c r="F128" s="492"/>
      <c r="G128" s="482"/>
      <c r="H128" s="492">
        <f>+H130</f>
        <v>7</v>
      </c>
      <c r="I128" s="747"/>
      <c r="J128" s="747"/>
      <c r="K128" s="190"/>
      <c r="L128" s="1667"/>
      <c r="M128" s="363"/>
      <c r="N128" s="1661"/>
      <c r="O128" s="714"/>
      <c r="P128" s="1236"/>
      <c r="Q128" s="860"/>
      <c r="R128" s="860"/>
      <c r="S128" s="860"/>
      <c r="T128" s="860"/>
      <c r="U128" s="860"/>
      <c r="V128" s="859"/>
      <c r="W128" s="859"/>
      <c r="X128" s="320"/>
      <c r="Y128" s="1682"/>
    </row>
    <row r="129" spans="1:25">
      <c r="A129" s="3229">
        <v>4161</v>
      </c>
      <c r="B129" s="2935"/>
      <c r="C129" s="2935" t="s">
        <v>109</v>
      </c>
      <c r="D129" s="2973" t="s">
        <v>3486</v>
      </c>
      <c r="E129" s="734" t="s">
        <v>3487</v>
      </c>
      <c r="F129" s="492"/>
      <c r="G129" s="182"/>
      <c r="H129" s="752"/>
      <c r="I129" s="482"/>
      <c r="J129" s="486"/>
      <c r="K129" s="727">
        <f>SUM(K130)</f>
        <v>7</v>
      </c>
      <c r="L129" s="1661">
        <f>SUM(L130)</f>
        <v>1</v>
      </c>
      <c r="M129" s="363">
        <f>SUM(M130)</f>
        <v>0</v>
      </c>
      <c r="N129" s="1661">
        <f>SUM(N130)</f>
        <v>0</v>
      </c>
      <c r="O129" s="3215">
        <f>+IF(Q129&gt;0,N129,"na")</f>
        <v>0</v>
      </c>
      <c r="P129" s="1691">
        <f>SUM(P130:P130)</f>
        <v>838782430</v>
      </c>
      <c r="Q129" s="1691">
        <f t="shared" ref="Q129" si="39">SUM(Q130:Q130)</f>
        <v>3254171448</v>
      </c>
      <c r="R129" s="1691">
        <v>0</v>
      </c>
      <c r="S129" s="1691">
        <v>0</v>
      </c>
      <c r="T129" s="861">
        <f>+R129/Q129</f>
        <v>0</v>
      </c>
      <c r="U129" s="861">
        <v>0</v>
      </c>
      <c r="V129" s="860"/>
      <c r="W129" s="860"/>
      <c r="X129" s="320"/>
      <c r="Y129" s="3216" t="s">
        <v>3292</v>
      </c>
    </row>
    <row r="130" spans="1:25" ht="121.5">
      <c r="A130" s="3229"/>
      <c r="B130" s="2935"/>
      <c r="C130" s="2935"/>
      <c r="D130" s="2973"/>
      <c r="E130" s="734" t="s">
        <v>3488</v>
      </c>
      <c r="F130" s="492"/>
      <c r="G130" s="748" t="s">
        <v>3489</v>
      </c>
      <c r="H130" s="492">
        <v>7</v>
      </c>
      <c r="I130" s="482" t="s">
        <v>3490</v>
      </c>
      <c r="J130" s="482" t="s">
        <v>3491</v>
      </c>
      <c r="K130" s="363">
        <v>7</v>
      </c>
      <c r="L130" s="1661">
        <v>1</v>
      </c>
      <c r="M130" s="363">
        <v>0</v>
      </c>
      <c r="N130" s="1661">
        <v>0</v>
      </c>
      <c r="O130" s="3215"/>
      <c r="P130" s="1669">
        <v>838782430</v>
      </c>
      <c r="Q130" s="1669">
        <v>3254171448</v>
      </c>
      <c r="R130" s="1669">
        <v>0</v>
      </c>
      <c r="S130" s="1669">
        <v>0</v>
      </c>
      <c r="T130" s="861">
        <f>+R130/Q130</f>
        <v>0</v>
      </c>
      <c r="U130" s="861">
        <v>0</v>
      </c>
      <c r="V130" s="859"/>
      <c r="W130" s="859"/>
      <c r="X130" s="320"/>
      <c r="Y130" s="3216"/>
    </row>
    <row r="131" spans="1:25">
      <c r="A131" s="1685"/>
      <c r="B131" s="499">
        <v>54</v>
      </c>
      <c r="C131" s="499" t="s">
        <v>100</v>
      </c>
      <c r="D131" s="500" t="s">
        <v>108</v>
      </c>
      <c r="E131" s="746"/>
      <c r="F131" s="492"/>
      <c r="G131" s="482"/>
      <c r="H131" s="752"/>
      <c r="I131" s="713"/>
      <c r="J131" s="737"/>
      <c r="K131" s="493"/>
      <c r="L131" s="1660"/>
      <c r="M131" s="363"/>
      <c r="N131" s="1661"/>
      <c r="O131" s="714"/>
      <c r="P131" s="1674"/>
      <c r="Q131" s="860"/>
      <c r="R131" s="860"/>
      <c r="S131" s="860"/>
      <c r="T131" s="860"/>
      <c r="U131" s="860"/>
      <c r="V131" s="859"/>
      <c r="W131" s="859"/>
      <c r="X131" s="320"/>
      <c r="Y131" s="1680"/>
    </row>
    <row r="132" spans="1:25">
      <c r="A132" s="1685"/>
      <c r="B132" s="499">
        <v>5402</v>
      </c>
      <c r="C132" s="499" t="s">
        <v>101</v>
      </c>
      <c r="D132" s="500" t="s">
        <v>104</v>
      </c>
      <c r="E132" s="746"/>
      <c r="F132" s="492"/>
      <c r="G132" s="482"/>
      <c r="H132" s="752"/>
      <c r="I132" s="713"/>
      <c r="J132" s="713"/>
      <c r="K132" s="493"/>
      <c r="L132" s="1660"/>
      <c r="M132" s="363"/>
      <c r="N132" s="1661"/>
      <c r="O132" s="714"/>
      <c r="P132" s="1674"/>
      <c r="Q132" s="860"/>
      <c r="R132" s="860"/>
      <c r="S132" s="860"/>
      <c r="T132" s="860"/>
      <c r="U132" s="860"/>
      <c r="V132" s="859"/>
      <c r="W132" s="859"/>
      <c r="X132" s="320"/>
      <c r="Y132" s="1680"/>
    </row>
    <row r="133" spans="1:25" ht="16.5" customHeight="1">
      <c r="A133" s="1683"/>
      <c r="B133" s="511">
        <v>5402001</v>
      </c>
      <c r="C133" s="511" t="s">
        <v>102</v>
      </c>
      <c r="D133" s="512" t="s">
        <v>105</v>
      </c>
      <c r="E133" s="745"/>
      <c r="F133" s="492"/>
      <c r="G133" s="482"/>
      <c r="H133" s="752"/>
      <c r="I133" s="721"/>
      <c r="J133" s="361"/>
      <c r="K133" s="189"/>
      <c r="L133" s="1664"/>
      <c r="M133" s="363"/>
      <c r="N133" s="1661"/>
      <c r="O133" s="714"/>
      <c r="P133" s="1234"/>
      <c r="Q133" s="860"/>
      <c r="R133" s="860"/>
      <c r="S133" s="860"/>
      <c r="T133" s="860"/>
      <c r="U133" s="860"/>
      <c r="V133" s="859"/>
      <c r="W133" s="859"/>
      <c r="X133" s="320"/>
      <c r="Y133" s="1684"/>
    </row>
    <row r="134" spans="1:25" ht="25.5">
      <c r="A134" s="1681"/>
      <c r="B134" s="725">
        <v>54020010007</v>
      </c>
      <c r="C134" s="725" t="s">
        <v>103</v>
      </c>
      <c r="D134" s="502" t="s">
        <v>3492</v>
      </c>
      <c r="E134" s="744"/>
      <c r="F134" s="492"/>
      <c r="G134" s="482"/>
      <c r="H134" s="492">
        <f>+H136</f>
        <v>2</v>
      </c>
      <c r="I134" s="747"/>
      <c r="J134" s="364"/>
      <c r="K134" s="190"/>
      <c r="L134" s="1667"/>
      <c r="M134" s="363"/>
      <c r="N134" s="1661"/>
      <c r="O134" s="714"/>
      <c r="P134" s="1236"/>
      <c r="Q134" s="860"/>
      <c r="R134" s="860"/>
      <c r="S134" s="860"/>
      <c r="T134" s="860"/>
      <c r="U134" s="860"/>
      <c r="V134" s="859"/>
      <c r="W134" s="859"/>
      <c r="X134" s="320"/>
      <c r="Y134" s="1682"/>
    </row>
    <row r="135" spans="1:25">
      <c r="A135" s="3229">
        <v>4161</v>
      </c>
      <c r="B135" s="2935"/>
      <c r="C135" s="2935" t="s">
        <v>109</v>
      </c>
      <c r="D135" s="2973" t="s">
        <v>3493</v>
      </c>
      <c r="E135" s="734" t="s">
        <v>3494</v>
      </c>
      <c r="F135" s="492"/>
      <c r="G135" s="182"/>
      <c r="H135" s="752"/>
      <c r="I135" s="486"/>
      <c r="J135" s="183"/>
      <c r="K135" s="727">
        <f>SUM(K137:K137)</f>
        <v>1</v>
      </c>
      <c r="L135" s="1661">
        <f>SUM(L136:L137)</f>
        <v>1</v>
      </c>
      <c r="M135" s="363">
        <f>SUM(M136:M137)</f>
        <v>1</v>
      </c>
      <c r="N135" s="1661">
        <f>SUM(N136:N137)</f>
        <v>0.5</v>
      </c>
      <c r="O135" s="3221">
        <f>+IF(Q135&gt;0,N135,"na")</f>
        <v>0.5</v>
      </c>
      <c r="P135" s="1669">
        <f>SUM(P136:P137)</f>
        <v>5758548534</v>
      </c>
      <c r="Q135" s="1669">
        <f t="shared" ref="Q135:S135" si="40">SUM(Q136:Q137)</f>
        <v>7246395283</v>
      </c>
      <c r="R135" s="1669">
        <f t="shared" si="40"/>
        <v>3893134771</v>
      </c>
      <c r="S135" s="1669">
        <f t="shared" si="40"/>
        <v>2153872447</v>
      </c>
      <c r="T135" s="861">
        <f>+R135/Q135</f>
        <v>0.53725122891560595</v>
      </c>
      <c r="U135" s="861">
        <f>+S135/R135</f>
        <v>0.55324887878123752</v>
      </c>
      <c r="V135" s="860"/>
      <c r="W135" s="860"/>
      <c r="X135" s="320"/>
      <c r="Y135" s="3225" t="s">
        <v>3495</v>
      </c>
    </row>
    <row r="136" spans="1:25" ht="135">
      <c r="A136" s="3229"/>
      <c r="B136" s="2935"/>
      <c r="C136" s="2935"/>
      <c r="D136" s="2973"/>
      <c r="E136" s="734" t="s">
        <v>3496</v>
      </c>
      <c r="F136" s="492"/>
      <c r="G136" s="482" t="s">
        <v>3492</v>
      </c>
      <c r="H136" s="736">
        <v>2</v>
      </c>
      <c r="I136" s="486" t="s">
        <v>3497</v>
      </c>
      <c r="J136" s="486" t="s">
        <v>1089</v>
      </c>
      <c r="K136" s="363">
        <v>2</v>
      </c>
      <c r="L136" s="1661">
        <v>0.95</v>
      </c>
      <c r="M136" s="363">
        <v>1</v>
      </c>
      <c r="N136" s="1661">
        <v>0.5</v>
      </c>
      <c r="O136" s="3222"/>
      <c r="P136" s="1669">
        <v>5443157648</v>
      </c>
      <c r="Q136" s="1669">
        <v>6931004397</v>
      </c>
      <c r="R136" s="1669">
        <v>3893134771</v>
      </c>
      <c r="S136" s="1669">
        <v>2153872447</v>
      </c>
      <c r="T136" s="861">
        <f>+R136/Q136</f>
        <v>0.5616984996698452</v>
      </c>
      <c r="U136" s="861">
        <f>+S136/R136</f>
        <v>0.55324887878123752</v>
      </c>
      <c r="V136" s="859">
        <v>45304</v>
      </c>
      <c r="W136" s="859">
        <v>45657</v>
      </c>
      <c r="X136" s="320" t="s">
        <v>5473</v>
      </c>
      <c r="Y136" s="3225"/>
    </row>
    <row r="137" spans="1:25" ht="27">
      <c r="A137" s="3229"/>
      <c r="B137" s="2935"/>
      <c r="C137" s="2935"/>
      <c r="D137" s="2973"/>
      <c r="E137" s="734" t="s">
        <v>3498</v>
      </c>
      <c r="F137" s="492"/>
      <c r="G137" s="482"/>
      <c r="H137" s="736"/>
      <c r="I137" s="486" t="s">
        <v>3499</v>
      </c>
      <c r="J137" s="486" t="s">
        <v>206</v>
      </c>
      <c r="K137" s="363">
        <v>1</v>
      </c>
      <c r="L137" s="1661">
        <v>0.05</v>
      </c>
      <c r="M137" s="363">
        <v>0</v>
      </c>
      <c r="N137" s="1661">
        <v>0</v>
      </c>
      <c r="O137" s="3222"/>
      <c r="P137" s="1669">
        <v>315390886</v>
      </c>
      <c r="Q137" s="1669">
        <v>315390886</v>
      </c>
      <c r="R137" s="1669" t="s">
        <v>5449</v>
      </c>
      <c r="S137" s="1669" t="s">
        <v>5449</v>
      </c>
      <c r="T137" s="861">
        <v>0</v>
      </c>
      <c r="U137" s="861">
        <v>0</v>
      </c>
      <c r="V137" s="859"/>
      <c r="W137" s="859"/>
      <c r="X137" s="320"/>
      <c r="Y137" s="3225"/>
    </row>
    <row r="138" spans="1:25" ht="16.5" customHeight="1">
      <c r="A138" s="1683"/>
      <c r="B138" s="511">
        <v>5402002</v>
      </c>
      <c r="C138" s="511" t="s">
        <v>102</v>
      </c>
      <c r="D138" s="512" t="s">
        <v>527</v>
      </c>
      <c r="E138" s="745"/>
      <c r="F138" s="492"/>
      <c r="G138" s="482"/>
      <c r="H138" s="752"/>
      <c r="I138" s="721"/>
      <c r="J138" s="361"/>
      <c r="K138" s="189"/>
      <c r="L138" s="1664"/>
      <c r="M138" s="363"/>
      <c r="N138" s="1661"/>
      <c r="O138" s="714"/>
      <c r="P138" s="1234"/>
      <c r="Q138" s="860"/>
      <c r="R138" s="860"/>
      <c r="S138" s="860"/>
      <c r="T138" s="860"/>
      <c r="U138" s="860"/>
      <c r="V138" s="859"/>
      <c r="W138" s="859"/>
      <c r="X138" s="320"/>
      <c r="Y138" s="1684"/>
    </row>
    <row r="139" spans="1:25">
      <c r="A139" s="1681"/>
      <c r="B139" s="725">
        <v>54020020020</v>
      </c>
      <c r="C139" s="725" t="s">
        <v>103</v>
      </c>
      <c r="D139" s="502" t="s">
        <v>3500</v>
      </c>
      <c r="E139" s="744"/>
      <c r="F139" s="492"/>
      <c r="G139" s="482"/>
      <c r="H139" s="492">
        <f>+H141</f>
        <v>1</v>
      </c>
      <c r="I139" s="747"/>
      <c r="J139" s="747"/>
      <c r="K139" s="190"/>
      <c r="L139" s="1667"/>
      <c r="M139" s="363"/>
      <c r="N139" s="1661"/>
      <c r="O139" s="714"/>
      <c r="P139" s="1236"/>
      <c r="Q139" s="860"/>
      <c r="R139" s="860"/>
      <c r="S139" s="860"/>
      <c r="T139" s="860"/>
      <c r="U139" s="860"/>
      <c r="V139" s="859"/>
      <c r="W139" s="859"/>
      <c r="X139" s="320"/>
      <c r="Y139" s="1684"/>
    </row>
    <row r="140" spans="1:25">
      <c r="A140" s="3229">
        <v>4161</v>
      </c>
      <c r="B140" s="2935"/>
      <c r="C140" s="2935" t="s">
        <v>109</v>
      </c>
      <c r="D140" s="3219" t="s">
        <v>3501</v>
      </c>
      <c r="E140" s="513" t="s">
        <v>3502</v>
      </c>
      <c r="F140" s="492"/>
      <c r="G140" s="482"/>
      <c r="H140" s="752"/>
      <c r="I140" s="183"/>
      <c r="J140" s="183"/>
      <c r="K140" s="727">
        <f>SUM(K141)</f>
        <v>1</v>
      </c>
      <c r="L140" s="1661">
        <f>SUM(L141:L142)</f>
        <v>1</v>
      </c>
      <c r="M140" s="363">
        <f>SUM(M141:M142)</f>
        <v>2</v>
      </c>
      <c r="N140" s="1661">
        <f>SUM(N141:N142)</f>
        <v>0.60000000000000009</v>
      </c>
      <c r="O140" s="3221">
        <f>+IF(Q140&gt;0,N140,"na")</f>
        <v>0.60000000000000009</v>
      </c>
      <c r="P140" s="732">
        <f>SUM(P141:P142)</f>
        <v>659148000</v>
      </c>
      <c r="Q140" s="732">
        <f t="shared" ref="Q140:S140" si="41">SUM(Q141:Q142)</f>
        <v>700412000</v>
      </c>
      <c r="R140" s="732">
        <f t="shared" si="41"/>
        <v>644955000</v>
      </c>
      <c r="S140" s="732">
        <f t="shared" si="41"/>
        <v>504283000</v>
      </c>
      <c r="T140" s="861">
        <f t="shared" ref="T140:U142" si="42">+R140/Q140</f>
        <v>0.92082231600829223</v>
      </c>
      <c r="U140" s="861">
        <f t="shared" si="42"/>
        <v>0.78188865889868286</v>
      </c>
      <c r="V140" s="860"/>
      <c r="W140" s="860"/>
      <c r="X140" s="320"/>
      <c r="Y140" s="3233" t="s">
        <v>3503</v>
      </c>
    </row>
    <row r="141" spans="1:25" ht="135">
      <c r="A141" s="3229"/>
      <c r="B141" s="2935"/>
      <c r="C141" s="2935"/>
      <c r="D141" s="3219"/>
      <c r="E141" s="734" t="s">
        <v>3504</v>
      </c>
      <c r="F141" s="492"/>
      <c r="G141" s="748" t="s">
        <v>3500</v>
      </c>
      <c r="H141" s="736">
        <v>1</v>
      </c>
      <c r="I141" s="285" t="s">
        <v>3505</v>
      </c>
      <c r="J141" s="285" t="s">
        <v>3506</v>
      </c>
      <c r="K141" s="363">
        <v>1</v>
      </c>
      <c r="L141" s="1661">
        <v>0.55000000000000004</v>
      </c>
      <c r="M141" s="363">
        <v>1</v>
      </c>
      <c r="N141" s="1661">
        <v>0.4</v>
      </c>
      <c r="O141" s="3222"/>
      <c r="P141" s="1669">
        <v>300195000</v>
      </c>
      <c r="Q141" s="1669">
        <v>341459000</v>
      </c>
      <c r="R141" s="1669">
        <v>294427500</v>
      </c>
      <c r="S141" s="1669">
        <v>242435500</v>
      </c>
      <c r="T141" s="861">
        <f t="shared" si="42"/>
        <v>0.86226311211594953</v>
      </c>
      <c r="U141" s="861">
        <f t="shared" si="42"/>
        <v>0.82341323415781476</v>
      </c>
      <c r="V141" s="859">
        <v>45309</v>
      </c>
      <c r="W141" s="859">
        <v>45657</v>
      </c>
      <c r="X141" s="320" t="s">
        <v>5474</v>
      </c>
      <c r="Y141" s="3233"/>
    </row>
    <row r="142" spans="1:25" ht="108">
      <c r="A142" s="3229"/>
      <c r="B142" s="2935"/>
      <c r="C142" s="2935"/>
      <c r="D142" s="3219"/>
      <c r="E142" s="734" t="s">
        <v>3507</v>
      </c>
      <c r="F142" s="492"/>
      <c r="G142" s="748"/>
      <c r="H142" s="752"/>
      <c r="I142" s="285" t="s">
        <v>3508</v>
      </c>
      <c r="J142" s="285" t="s">
        <v>3509</v>
      </c>
      <c r="K142" s="363">
        <v>1</v>
      </c>
      <c r="L142" s="1661">
        <v>0.45</v>
      </c>
      <c r="M142" s="363">
        <v>1</v>
      </c>
      <c r="N142" s="1661">
        <v>0.2</v>
      </c>
      <c r="O142" s="3222"/>
      <c r="P142" s="1669">
        <v>358953000</v>
      </c>
      <c r="Q142" s="1669">
        <v>358953000</v>
      </c>
      <c r="R142" s="1669">
        <v>350527500</v>
      </c>
      <c r="S142" s="1669">
        <v>261847500</v>
      </c>
      <c r="T142" s="861">
        <f t="shared" si="42"/>
        <v>0.97652756767599103</v>
      </c>
      <c r="U142" s="861">
        <f t="shared" si="42"/>
        <v>0.74700986370541544</v>
      </c>
      <c r="V142" s="859">
        <v>45309</v>
      </c>
      <c r="W142" s="859">
        <v>45657</v>
      </c>
      <c r="X142" s="320" t="s">
        <v>5475</v>
      </c>
      <c r="Y142" s="3233"/>
    </row>
    <row r="143" spans="1:25" ht="16.5" customHeight="1">
      <c r="A143" s="1683"/>
      <c r="B143" s="511">
        <v>5402003</v>
      </c>
      <c r="C143" s="511" t="s">
        <v>102</v>
      </c>
      <c r="D143" s="512" t="s">
        <v>240</v>
      </c>
      <c r="E143" s="745"/>
      <c r="F143" s="492"/>
      <c r="G143" s="482"/>
      <c r="H143" s="752"/>
      <c r="I143" s="721"/>
      <c r="J143" s="721"/>
      <c r="K143" s="189"/>
      <c r="L143" s="1664"/>
      <c r="M143" s="363"/>
      <c r="N143" s="1661"/>
      <c r="O143" s="714"/>
      <c r="P143" s="1234"/>
      <c r="Q143" s="860"/>
      <c r="R143" s="860"/>
      <c r="S143" s="860"/>
      <c r="T143" s="860"/>
      <c r="U143" s="860"/>
      <c r="V143" s="859"/>
      <c r="W143" s="859"/>
      <c r="X143" s="320"/>
      <c r="Y143" s="1684"/>
    </row>
    <row r="144" spans="1:25" ht="25.5">
      <c r="A144" s="1681"/>
      <c r="B144" s="725">
        <v>54020030009</v>
      </c>
      <c r="C144" s="725" t="s">
        <v>103</v>
      </c>
      <c r="D144" s="502" t="s">
        <v>3510</v>
      </c>
      <c r="E144" s="744"/>
      <c r="F144" s="492"/>
      <c r="G144" s="482"/>
      <c r="H144" s="492">
        <f>+H146</f>
        <v>1</v>
      </c>
      <c r="I144" s="747"/>
      <c r="J144" s="364"/>
      <c r="K144" s="190"/>
      <c r="L144" s="1667"/>
      <c r="M144" s="363"/>
      <c r="N144" s="1661"/>
      <c r="O144" s="714"/>
      <c r="P144" s="1236"/>
      <c r="Q144" s="860"/>
      <c r="R144" s="860"/>
      <c r="S144" s="860"/>
      <c r="T144" s="860"/>
      <c r="U144" s="860"/>
      <c r="V144" s="859"/>
      <c r="W144" s="859"/>
      <c r="X144" s="320"/>
      <c r="Y144" s="1682"/>
    </row>
    <row r="145" spans="1:25">
      <c r="A145" s="3229">
        <v>4161</v>
      </c>
      <c r="B145" s="2935"/>
      <c r="C145" s="2935" t="s">
        <v>109</v>
      </c>
      <c r="D145" s="3219" t="s">
        <v>3511</v>
      </c>
      <c r="E145" s="513" t="s">
        <v>3512</v>
      </c>
      <c r="F145" s="492"/>
      <c r="G145" s="482"/>
      <c r="H145" s="752"/>
      <c r="I145" s="183"/>
      <c r="J145" s="183"/>
      <c r="K145" s="612">
        <f>SUM(K146)</f>
        <v>1</v>
      </c>
      <c r="L145" s="1661">
        <f>SUM(L146:L147)</f>
        <v>1</v>
      </c>
      <c r="M145" s="363">
        <f>SUM(M146:M147)</f>
        <v>2</v>
      </c>
      <c r="N145" s="1661">
        <f>SUM(N146:N147)</f>
        <v>0.64999999999999991</v>
      </c>
      <c r="O145" s="3221">
        <f>+IF(Q145&gt;0,N145,"na")</f>
        <v>0.64999999999999991</v>
      </c>
      <c r="P145" s="732">
        <f>SUM(P146:P147)</f>
        <v>1012636620</v>
      </c>
      <c r="Q145" s="732">
        <f t="shared" ref="Q145:S145" si="43">SUM(Q146:Q147)</f>
        <v>1758375620</v>
      </c>
      <c r="R145" s="732">
        <f t="shared" si="43"/>
        <v>932157000</v>
      </c>
      <c r="S145" s="732">
        <f t="shared" si="43"/>
        <v>592456000</v>
      </c>
      <c r="T145" s="861">
        <f t="shared" ref="T145:U147" si="44">+R145/Q145</f>
        <v>0.53012393336072305</v>
      </c>
      <c r="U145" s="861">
        <f t="shared" si="44"/>
        <v>0.63557533763089269</v>
      </c>
      <c r="V145" s="860"/>
      <c r="W145" s="860"/>
      <c r="X145" s="320"/>
      <c r="Y145" s="3233" t="s">
        <v>3304</v>
      </c>
    </row>
    <row r="146" spans="1:25" ht="108">
      <c r="A146" s="3229"/>
      <c r="B146" s="2935"/>
      <c r="C146" s="2935"/>
      <c r="D146" s="3219"/>
      <c r="E146" s="734" t="s">
        <v>3513</v>
      </c>
      <c r="F146" s="492"/>
      <c r="G146" s="2948" t="s">
        <v>3510</v>
      </c>
      <c r="H146" s="736">
        <v>1</v>
      </c>
      <c r="I146" s="285" t="s">
        <v>3514</v>
      </c>
      <c r="J146" s="285" t="s">
        <v>122</v>
      </c>
      <c r="K146" s="363">
        <v>1</v>
      </c>
      <c r="L146" s="1661">
        <v>0.3</v>
      </c>
      <c r="M146" s="363">
        <v>1</v>
      </c>
      <c r="N146" s="1661">
        <v>0.3</v>
      </c>
      <c r="O146" s="3222"/>
      <c r="P146" s="1669">
        <v>495292000</v>
      </c>
      <c r="Q146" s="1669">
        <v>871924000</v>
      </c>
      <c r="R146" s="1669">
        <v>494029500</v>
      </c>
      <c r="S146" s="1669">
        <v>363629500</v>
      </c>
      <c r="T146" s="861">
        <f t="shared" si="44"/>
        <v>0.56659697404819687</v>
      </c>
      <c r="U146" s="861">
        <f t="shared" si="44"/>
        <v>0.73604815097074161</v>
      </c>
      <c r="V146" s="859">
        <v>45309</v>
      </c>
      <c r="W146" s="859">
        <v>45657</v>
      </c>
      <c r="X146" s="320" t="s">
        <v>5476</v>
      </c>
      <c r="Y146" s="3233"/>
    </row>
    <row r="147" spans="1:25" ht="16.5" customHeight="1">
      <c r="A147" s="3229"/>
      <c r="B147" s="2935"/>
      <c r="C147" s="2935"/>
      <c r="D147" s="3219"/>
      <c r="E147" s="734" t="s">
        <v>3515</v>
      </c>
      <c r="F147" s="492"/>
      <c r="G147" s="2948"/>
      <c r="H147" s="736"/>
      <c r="I147" s="285" t="s">
        <v>3516</v>
      </c>
      <c r="J147" s="285" t="s">
        <v>3517</v>
      </c>
      <c r="K147" s="363">
        <v>1</v>
      </c>
      <c r="L147" s="1661">
        <v>0.7</v>
      </c>
      <c r="M147" s="363">
        <v>1</v>
      </c>
      <c r="N147" s="1661">
        <v>0.35</v>
      </c>
      <c r="O147" s="3222"/>
      <c r="P147" s="1669">
        <v>517344620</v>
      </c>
      <c r="Q147" s="1669">
        <v>886451620</v>
      </c>
      <c r="R147" s="1669">
        <v>438127500</v>
      </c>
      <c r="S147" s="1669">
        <v>228826500</v>
      </c>
      <c r="T147" s="861">
        <f t="shared" si="44"/>
        <v>0.49424863141431225</v>
      </c>
      <c r="U147" s="861">
        <f t="shared" si="44"/>
        <v>0.52228289710187104</v>
      </c>
      <c r="V147" s="859">
        <v>45309</v>
      </c>
      <c r="W147" s="859">
        <v>45657</v>
      </c>
      <c r="X147" s="320" t="s">
        <v>5477</v>
      </c>
      <c r="Y147" s="3233"/>
    </row>
    <row r="148" spans="1:25" ht="25.5">
      <c r="A148" s="1681"/>
      <c r="B148" s="725">
        <v>54020030020</v>
      </c>
      <c r="C148" s="725" t="s">
        <v>103</v>
      </c>
      <c r="D148" s="502" t="s">
        <v>3518</v>
      </c>
      <c r="E148" s="744"/>
      <c r="F148" s="492"/>
      <c r="G148" s="482"/>
      <c r="H148" s="492">
        <f>+H151</f>
        <v>1</v>
      </c>
      <c r="I148" s="747"/>
      <c r="J148" s="747"/>
      <c r="K148" s="190"/>
      <c r="L148" s="1667"/>
      <c r="M148" s="363"/>
      <c r="N148" s="1661"/>
      <c r="O148" s="714"/>
      <c r="P148" s="1236"/>
      <c r="Q148" s="860"/>
      <c r="R148" s="860"/>
      <c r="S148" s="860"/>
      <c r="T148" s="860"/>
      <c r="U148" s="860"/>
      <c r="V148" s="859"/>
      <c r="W148" s="859"/>
      <c r="X148" s="320"/>
      <c r="Y148" s="1682"/>
    </row>
    <row r="149" spans="1:25">
      <c r="A149" s="3229">
        <v>4161</v>
      </c>
      <c r="B149" s="2935"/>
      <c r="C149" s="2935" t="s">
        <v>109</v>
      </c>
      <c r="D149" s="3231" t="s">
        <v>3519</v>
      </c>
      <c r="E149" s="753" t="s">
        <v>3520</v>
      </c>
      <c r="F149" s="492"/>
      <c r="G149" s="482"/>
      <c r="H149" s="752"/>
      <c r="I149" s="486"/>
      <c r="J149" s="486"/>
      <c r="K149" s="612">
        <f>SUM(K151)</f>
        <v>1</v>
      </c>
      <c r="L149" s="1661">
        <f>SUM(L150:L151)</f>
        <v>1</v>
      </c>
      <c r="M149" s="363">
        <f>SUM(M150:M151)</f>
        <v>715</v>
      </c>
      <c r="N149" s="1661">
        <f>SUM(N150:N151)</f>
        <v>0.25428571428571428</v>
      </c>
      <c r="O149" s="3221">
        <f>+IF(Q149&gt;0,N149,"na")</f>
        <v>0.25428571428571428</v>
      </c>
      <c r="P149" s="1669">
        <f>SUM(P150:P151)</f>
        <v>1773614025</v>
      </c>
      <c r="Q149" s="1669">
        <f t="shared" ref="Q149:S149" si="45">SUM(Q150:Q151)</f>
        <v>1773614025</v>
      </c>
      <c r="R149" s="1669">
        <f t="shared" si="45"/>
        <v>1082193549</v>
      </c>
      <c r="S149" s="1669">
        <f t="shared" si="45"/>
        <v>347151000</v>
      </c>
      <c r="T149" s="861">
        <f>+R149/Q149</f>
        <v>0.61016294060935838</v>
      </c>
      <c r="U149" s="861">
        <f>+S149/R149</f>
        <v>0.32078457714036884</v>
      </c>
      <c r="V149" s="860"/>
      <c r="W149" s="860"/>
      <c r="X149" s="320"/>
      <c r="Y149" s="3220" t="s">
        <v>3274</v>
      </c>
    </row>
    <row r="150" spans="1:25" ht="94.5">
      <c r="A150" s="3229"/>
      <c r="B150" s="2935"/>
      <c r="C150" s="2935"/>
      <c r="D150" s="3231"/>
      <c r="E150" s="734" t="s">
        <v>3521</v>
      </c>
      <c r="F150" s="492"/>
      <c r="G150" s="754"/>
      <c r="H150" s="736"/>
      <c r="I150" s="486" t="s">
        <v>3522</v>
      </c>
      <c r="J150" s="486" t="s">
        <v>3523</v>
      </c>
      <c r="K150" s="363">
        <v>3500</v>
      </c>
      <c r="L150" s="1661">
        <v>0.87</v>
      </c>
      <c r="M150" s="363">
        <v>715</v>
      </c>
      <c r="N150" s="1661">
        <f>+M150/K150</f>
        <v>0.20428571428571429</v>
      </c>
      <c r="O150" s="3222"/>
      <c r="P150" s="1669">
        <v>1437426049</v>
      </c>
      <c r="Q150" s="1669">
        <v>1437426049</v>
      </c>
      <c r="R150" s="1669">
        <v>1023546549</v>
      </c>
      <c r="S150" s="1669">
        <v>347151000</v>
      </c>
      <c r="T150" s="861">
        <f>+R150/Q150</f>
        <v>0.71206901371522313</v>
      </c>
      <c r="U150" s="861">
        <f>+S150/R150</f>
        <v>0.33916483851092538</v>
      </c>
      <c r="V150" s="859">
        <v>45309</v>
      </c>
      <c r="W150" s="859">
        <v>45657</v>
      </c>
      <c r="X150" s="320" t="s">
        <v>5478</v>
      </c>
      <c r="Y150" s="3220"/>
    </row>
    <row r="151" spans="1:25" ht="108">
      <c r="A151" s="3237"/>
      <c r="B151" s="3238"/>
      <c r="C151" s="3238"/>
      <c r="D151" s="3232"/>
      <c r="E151" s="1693" t="s">
        <v>3524</v>
      </c>
      <c r="F151" s="1694"/>
      <c r="G151" s="1695" t="s">
        <v>3518</v>
      </c>
      <c r="H151" s="1696">
        <v>1</v>
      </c>
      <c r="I151" s="1697" t="s">
        <v>3525</v>
      </c>
      <c r="J151" s="1697" t="s">
        <v>125</v>
      </c>
      <c r="K151" s="1698">
        <v>1</v>
      </c>
      <c r="L151" s="1699">
        <v>0.13</v>
      </c>
      <c r="M151" s="1698">
        <v>0</v>
      </c>
      <c r="N151" s="1699">
        <v>0.05</v>
      </c>
      <c r="O151" s="3235"/>
      <c r="P151" s="1700">
        <v>336187976</v>
      </c>
      <c r="Q151" s="1700">
        <v>336187976</v>
      </c>
      <c r="R151" s="1700">
        <v>58647000</v>
      </c>
      <c r="S151" s="1700" t="s">
        <v>5449</v>
      </c>
      <c r="T151" s="862">
        <f>+R151/Q151</f>
        <v>0.17444704804076633</v>
      </c>
      <c r="U151" s="862">
        <v>0</v>
      </c>
      <c r="V151" s="1701">
        <v>45383</v>
      </c>
      <c r="W151" s="1701">
        <v>45657</v>
      </c>
      <c r="X151" s="1702" t="s">
        <v>5479</v>
      </c>
      <c r="Y151" s="3236"/>
    </row>
    <row r="152" spans="1:25">
      <c r="A152" s="768"/>
      <c r="B152" s="768"/>
      <c r="C152" s="768"/>
      <c r="D152" s="322"/>
      <c r="E152" s="767"/>
      <c r="F152" s="766"/>
      <c r="G152" s="759"/>
      <c r="H152" s="766"/>
      <c r="I152" s="760"/>
      <c r="J152" s="765"/>
      <c r="K152" s="758"/>
      <c r="L152" s="763"/>
      <c r="M152" s="755"/>
      <c r="N152" s="756"/>
      <c r="O152" s="757"/>
      <c r="P152" s="761"/>
      <c r="Q152" s="764"/>
      <c r="R152" s="764"/>
      <c r="S152" s="764"/>
      <c r="T152" s="764"/>
      <c r="U152" s="764"/>
      <c r="V152" s="762"/>
      <c r="W152" s="762"/>
      <c r="X152" s="324"/>
      <c r="Y152" s="755"/>
    </row>
    <row r="153" spans="1:25" ht="25.5">
      <c r="A153" s="100"/>
      <c r="B153" s="49" t="s">
        <v>36</v>
      </c>
      <c r="C153" s="100">
        <f>COUNTIF(C7:C151,"pr")</f>
        <v>41</v>
      </c>
      <c r="D153" s="100"/>
      <c r="E153" s="49" t="s">
        <v>112</v>
      </c>
      <c r="F153" s="49"/>
      <c r="G153" s="1703">
        <f>COUNTIF(O11:O149,"na")</f>
        <v>1</v>
      </c>
      <c r="H153" s="100"/>
      <c r="I153" s="49"/>
      <c r="J153" s="100"/>
      <c r="K153" s="100"/>
      <c r="L153" s="100"/>
      <c r="M153" s="1704"/>
      <c r="N153" s="1705" t="s">
        <v>113</v>
      </c>
      <c r="O153" s="1706">
        <f>AVERAGE(O7:O151)</f>
        <v>0.30711674881773882</v>
      </c>
      <c r="P153" s="1707">
        <f>SUMIFS(P$2:P$151,$C$2:$C$151,"PR")</f>
        <v>92136683597</v>
      </c>
      <c r="Q153" s="1707">
        <f>SUMIFS(Q$2:Q$149,$C$2:$C$149,"PR")</f>
        <v>117623786350</v>
      </c>
      <c r="R153" s="1707">
        <f>SUMIFS(R$2:R$149,$C$2:$C$149,"PR")</f>
        <v>30724327074</v>
      </c>
      <c r="S153" s="1707">
        <f>SUMIFS(S$2:S$149,$C$2:$C$149,"PR")</f>
        <v>11277134090</v>
      </c>
      <c r="T153" s="1708">
        <f>+R153/Q153</f>
        <v>0.2612084513465418</v>
      </c>
      <c r="U153" s="1708">
        <f>+S153/R153</f>
        <v>0.36704250878591593</v>
      </c>
      <c r="V153" s="1709"/>
      <c r="W153" s="1709"/>
      <c r="X153" s="1710"/>
      <c r="Y153" s="1709"/>
    </row>
    <row r="154" spans="1:25">
      <c r="A154" s="49"/>
      <c r="B154" s="100"/>
      <c r="C154" s="100"/>
      <c r="D154" s="49"/>
      <c r="E154" s="49"/>
      <c r="F154" s="100"/>
      <c r="G154" s="1711"/>
      <c r="H154" s="100"/>
      <c r="I154" s="1711"/>
      <c r="J154" s="1711"/>
      <c r="K154" s="1712"/>
      <c r="L154" s="1712"/>
      <c r="M154" s="1704"/>
      <c r="N154" s="1713" t="s">
        <v>119</v>
      </c>
      <c r="O154" s="1714">
        <f>COUNTIF(O7:O151,"=0%")</f>
        <v>14</v>
      </c>
      <c r="P154" s="1715">
        <v>92136683597</v>
      </c>
      <c r="Q154" s="1715">
        <v>117623786350</v>
      </c>
      <c r="R154" s="1715">
        <v>30724327074</v>
      </c>
      <c r="S154" s="1715">
        <v>11277134090</v>
      </c>
      <c r="T154" s="1708"/>
      <c r="U154" s="1708"/>
      <c r="V154" s="1709"/>
      <c r="W154" s="1709"/>
      <c r="X154" s="1710"/>
      <c r="Y154" s="1709"/>
    </row>
  </sheetData>
  <autoFilter ref="A5:Y149" xr:uid="{00000000-0009-0000-0000-000013000000}"/>
  <mergeCells count="280">
    <mergeCell ref="D145:D147"/>
    <mergeCell ref="O145:O147"/>
    <mergeCell ref="Y145:Y147"/>
    <mergeCell ref="G146:G147"/>
    <mergeCell ref="A149:A151"/>
    <mergeCell ref="B149:B151"/>
    <mergeCell ref="C149:C151"/>
    <mergeCell ref="Y118:Y119"/>
    <mergeCell ref="A124:A125"/>
    <mergeCell ref="B124:B125"/>
    <mergeCell ref="C124:C125"/>
    <mergeCell ref="D124:D125"/>
    <mergeCell ref="O124:O125"/>
    <mergeCell ref="Y124:Y125"/>
    <mergeCell ref="O149:O151"/>
    <mergeCell ref="Y149:Y151"/>
    <mergeCell ref="A129:A130"/>
    <mergeCell ref="B129:B130"/>
    <mergeCell ref="C129:C130"/>
    <mergeCell ref="D129:D130"/>
    <mergeCell ref="O129:O130"/>
    <mergeCell ref="Y129:Y130"/>
    <mergeCell ref="A135:A137"/>
    <mergeCell ref="B135:B137"/>
    <mergeCell ref="C135:C137"/>
    <mergeCell ref="D135:D137"/>
    <mergeCell ref="O135:O137"/>
    <mergeCell ref="Y135:Y137"/>
    <mergeCell ref="A145:A147"/>
    <mergeCell ref="B145:B147"/>
    <mergeCell ref="C145:C147"/>
    <mergeCell ref="A101:A102"/>
    <mergeCell ref="B101:B102"/>
    <mergeCell ref="C101:C102"/>
    <mergeCell ref="D101:D102"/>
    <mergeCell ref="O101:O102"/>
    <mergeCell ref="Y101:Y102"/>
    <mergeCell ref="A105:A107"/>
    <mergeCell ref="B105:B107"/>
    <mergeCell ref="C105:C107"/>
    <mergeCell ref="D105:D107"/>
    <mergeCell ref="O105:O107"/>
    <mergeCell ref="Y105:Y107"/>
    <mergeCell ref="F106:F107"/>
    <mergeCell ref="D149:D151"/>
    <mergeCell ref="A140:A142"/>
    <mergeCell ref="B140:B142"/>
    <mergeCell ref="C140:C142"/>
    <mergeCell ref="D140:D142"/>
    <mergeCell ref="O140:O142"/>
    <mergeCell ref="Y140:Y142"/>
    <mergeCell ref="A111:A113"/>
    <mergeCell ref="B111:B113"/>
    <mergeCell ref="C111:C113"/>
    <mergeCell ref="D111:D113"/>
    <mergeCell ref="O111:O113"/>
    <mergeCell ref="Y111:Y113"/>
    <mergeCell ref="A114:A116"/>
    <mergeCell ref="B114:B116"/>
    <mergeCell ref="C114:C116"/>
    <mergeCell ref="D114:D116"/>
    <mergeCell ref="O114:O116"/>
    <mergeCell ref="Y114:Y116"/>
    <mergeCell ref="A118:A119"/>
    <mergeCell ref="B118:B119"/>
    <mergeCell ref="C118:C119"/>
    <mergeCell ref="D118:D119"/>
    <mergeCell ref="O118:O119"/>
    <mergeCell ref="Y96:Y98"/>
    <mergeCell ref="A99:A100"/>
    <mergeCell ref="B99:B100"/>
    <mergeCell ref="C99:C100"/>
    <mergeCell ref="D99:D100"/>
    <mergeCell ref="O99:O100"/>
    <mergeCell ref="Y99:Y100"/>
    <mergeCell ref="A96:A98"/>
    <mergeCell ref="B96:B98"/>
    <mergeCell ref="C96:C98"/>
    <mergeCell ref="D96:D98"/>
    <mergeCell ref="O96:O98"/>
    <mergeCell ref="Y91:Y93"/>
    <mergeCell ref="A94:A95"/>
    <mergeCell ref="B94:B95"/>
    <mergeCell ref="C94:C95"/>
    <mergeCell ref="D94:D95"/>
    <mergeCell ref="O94:O95"/>
    <mergeCell ref="Y94:Y95"/>
    <mergeCell ref="A91:A93"/>
    <mergeCell ref="B91:B93"/>
    <mergeCell ref="C91:C93"/>
    <mergeCell ref="D91:D93"/>
    <mergeCell ref="O91:O93"/>
    <mergeCell ref="Y82:Y83"/>
    <mergeCell ref="A86:A87"/>
    <mergeCell ref="B86:B87"/>
    <mergeCell ref="C86:C87"/>
    <mergeCell ref="D86:D87"/>
    <mergeCell ref="O86:O87"/>
    <mergeCell ref="Y86:Y87"/>
    <mergeCell ref="A82:A83"/>
    <mergeCell ref="B82:B83"/>
    <mergeCell ref="C82:C83"/>
    <mergeCell ref="D82:D83"/>
    <mergeCell ref="O82:O83"/>
    <mergeCell ref="Y76:Y77"/>
    <mergeCell ref="A79:A80"/>
    <mergeCell ref="B79:B80"/>
    <mergeCell ref="C79:C80"/>
    <mergeCell ref="D79:D80"/>
    <mergeCell ref="O79:O80"/>
    <mergeCell ref="Y79:Y80"/>
    <mergeCell ref="A76:A77"/>
    <mergeCell ref="B76:B77"/>
    <mergeCell ref="C76:C77"/>
    <mergeCell ref="D76:D77"/>
    <mergeCell ref="O76:O77"/>
    <mergeCell ref="Y68:Y70"/>
    <mergeCell ref="A73:A74"/>
    <mergeCell ref="B73:B74"/>
    <mergeCell ref="C73:C74"/>
    <mergeCell ref="D73:D74"/>
    <mergeCell ref="O73:O74"/>
    <mergeCell ref="Y73:Y74"/>
    <mergeCell ref="A68:A70"/>
    <mergeCell ref="B68:B70"/>
    <mergeCell ref="C68:C70"/>
    <mergeCell ref="D68:D70"/>
    <mergeCell ref="O68:O70"/>
    <mergeCell ref="Y62:Y64"/>
    <mergeCell ref="A65:A66"/>
    <mergeCell ref="B65:B66"/>
    <mergeCell ref="C65:C66"/>
    <mergeCell ref="D65:D66"/>
    <mergeCell ref="O65:O66"/>
    <mergeCell ref="Y65:Y66"/>
    <mergeCell ref="A62:A64"/>
    <mergeCell ref="B62:B64"/>
    <mergeCell ref="C62:C64"/>
    <mergeCell ref="D62:D64"/>
    <mergeCell ref="O62:O64"/>
    <mergeCell ref="Y57:Y58"/>
    <mergeCell ref="A60:A61"/>
    <mergeCell ref="B60:B61"/>
    <mergeCell ref="C60:C61"/>
    <mergeCell ref="D60:D61"/>
    <mergeCell ref="O60:O61"/>
    <mergeCell ref="Y60:Y61"/>
    <mergeCell ref="A57:A58"/>
    <mergeCell ref="B57:B58"/>
    <mergeCell ref="C57:C58"/>
    <mergeCell ref="D57:D58"/>
    <mergeCell ref="O57:O58"/>
    <mergeCell ref="Y52:Y53"/>
    <mergeCell ref="A54:A55"/>
    <mergeCell ref="B54:B55"/>
    <mergeCell ref="C54:C55"/>
    <mergeCell ref="D54:D55"/>
    <mergeCell ref="O54:O55"/>
    <mergeCell ref="Y54:Y55"/>
    <mergeCell ref="A52:A53"/>
    <mergeCell ref="B52:B53"/>
    <mergeCell ref="C52:C53"/>
    <mergeCell ref="D52:D53"/>
    <mergeCell ref="O52:O53"/>
    <mergeCell ref="Y47:Y48"/>
    <mergeCell ref="A49:A50"/>
    <mergeCell ref="B49:B50"/>
    <mergeCell ref="C49:C50"/>
    <mergeCell ref="D49:D50"/>
    <mergeCell ref="O49:O50"/>
    <mergeCell ref="Y49:Y50"/>
    <mergeCell ref="A47:A48"/>
    <mergeCell ref="B47:B48"/>
    <mergeCell ref="C47:C48"/>
    <mergeCell ref="D47:D48"/>
    <mergeCell ref="O47:O48"/>
    <mergeCell ref="Y43:Y44"/>
    <mergeCell ref="A45:A46"/>
    <mergeCell ref="B45:B46"/>
    <mergeCell ref="C45:C46"/>
    <mergeCell ref="D45:D46"/>
    <mergeCell ref="O45:O46"/>
    <mergeCell ref="Y45:Y46"/>
    <mergeCell ref="A43:A44"/>
    <mergeCell ref="B43:B44"/>
    <mergeCell ref="C43:C44"/>
    <mergeCell ref="D43:D44"/>
    <mergeCell ref="O43:O44"/>
    <mergeCell ref="Y39:Y40"/>
    <mergeCell ref="A41:A42"/>
    <mergeCell ref="B41:B42"/>
    <mergeCell ref="C41:C42"/>
    <mergeCell ref="D41:D42"/>
    <mergeCell ref="O41:O42"/>
    <mergeCell ref="Y41:Y42"/>
    <mergeCell ref="A39:A40"/>
    <mergeCell ref="B39:B40"/>
    <mergeCell ref="C39:C40"/>
    <mergeCell ref="D39:D40"/>
    <mergeCell ref="O39:O40"/>
    <mergeCell ref="Y34:Y35"/>
    <mergeCell ref="A37:A38"/>
    <mergeCell ref="B37:B38"/>
    <mergeCell ref="C37:C38"/>
    <mergeCell ref="D37:D38"/>
    <mergeCell ref="O37:O38"/>
    <mergeCell ref="Y37:Y38"/>
    <mergeCell ref="A34:A35"/>
    <mergeCell ref="B34:B35"/>
    <mergeCell ref="C34:C35"/>
    <mergeCell ref="D34:D35"/>
    <mergeCell ref="O34:O35"/>
    <mergeCell ref="Y26:Y27"/>
    <mergeCell ref="A30:A32"/>
    <mergeCell ref="B30:B32"/>
    <mergeCell ref="C30:C32"/>
    <mergeCell ref="D30:D32"/>
    <mergeCell ref="O30:O32"/>
    <mergeCell ref="Y30:Y32"/>
    <mergeCell ref="A26:A27"/>
    <mergeCell ref="B26:B27"/>
    <mergeCell ref="C26:C27"/>
    <mergeCell ref="D26:D27"/>
    <mergeCell ref="O26:O27"/>
    <mergeCell ref="Y17:Y18"/>
    <mergeCell ref="A23:A24"/>
    <mergeCell ref="B23:B24"/>
    <mergeCell ref="C23:C24"/>
    <mergeCell ref="D23:D24"/>
    <mergeCell ref="O23:O24"/>
    <mergeCell ref="Y23:Y24"/>
    <mergeCell ref="A17:A18"/>
    <mergeCell ref="B17:B18"/>
    <mergeCell ref="C17:C18"/>
    <mergeCell ref="D17:D18"/>
    <mergeCell ref="O17:O18"/>
    <mergeCell ref="L5:L6"/>
    <mergeCell ref="N5:N6"/>
    <mergeCell ref="O5:O6"/>
    <mergeCell ref="K5:K6"/>
    <mergeCell ref="A2:Y2"/>
    <mergeCell ref="S5:S6"/>
    <mergeCell ref="B5:B6"/>
    <mergeCell ref="C5:C6"/>
    <mergeCell ref="A14:A15"/>
    <mergeCell ref="B14:B15"/>
    <mergeCell ref="C14:C15"/>
    <mergeCell ref="D14:D15"/>
    <mergeCell ref="O14:O15"/>
    <mergeCell ref="Y14:Y15"/>
    <mergeCell ref="A11:A12"/>
    <mergeCell ref="B11:B12"/>
    <mergeCell ref="C11:C12"/>
    <mergeCell ref="D11:D12"/>
    <mergeCell ref="O11:O12"/>
    <mergeCell ref="Y11:Y12"/>
    <mergeCell ref="Q5:Q6"/>
    <mergeCell ref="R5:R6"/>
    <mergeCell ref="A4:Y4"/>
    <mergeCell ref="Y5:Y6"/>
    <mergeCell ref="T5:T6"/>
    <mergeCell ref="A5:A6"/>
    <mergeCell ref="X5:X6"/>
    <mergeCell ref="U5:U6"/>
    <mergeCell ref="A1:X1"/>
    <mergeCell ref="I5:I6"/>
    <mergeCell ref="J5:J6"/>
    <mergeCell ref="D5:D6"/>
    <mergeCell ref="P5:P6"/>
    <mergeCell ref="W5:W6"/>
    <mergeCell ref="A3:B3"/>
    <mergeCell ref="V3:W3"/>
    <mergeCell ref="E5:E6"/>
    <mergeCell ref="C3:R3"/>
    <mergeCell ref="M5:M6"/>
    <mergeCell ref="V5:V6"/>
    <mergeCell ref="G5:G6"/>
    <mergeCell ref="H5:H6"/>
    <mergeCell ref="S3:U3"/>
    <mergeCell ref="F5:F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7"/>
  <sheetViews>
    <sheetView topLeftCell="A29" zoomScale="70" zoomScaleNormal="70" zoomScaleSheetLayoutView="100" workbookViewId="0">
      <selection activeCell="G46" sqref="G46"/>
    </sheetView>
  </sheetViews>
  <sheetFormatPr baseColWidth="10" defaultColWidth="11.42578125" defaultRowHeight="16.5"/>
  <cols>
    <col min="1" max="1" width="13" style="2" customWidth="1"/>
    <col min="2" max="2" width="10.85546875" style="3" customWidth="1"/>
    <col min="3" max="3" width="8.5703125" style="2" customWidth="1"/>
    <col min="4" max="4" width="55" style="3" customWidth="1"/>
    <col min="5" max="5" width="13" style="3" customWidth="1"/>
    <col min="6" max="8" width="12.42578125" style="3" customWidth="1"/>
    <col min="9" max="9" width="17.7109375" style="3" customWidth="1"/>
    <col min="10" max="10" width="17.5703125" style="2" customWidth="1"/>
    <col min="11" max="13" width="13.140625" style="16" customWidth="1"/>
    <col min="14" max="14" width="12.7109375" style="3" customWidth="1"/>
    <col min="15" max="15" width="11.7109375" style="2" customWidth="1"/>
    <col min="16" max="16" width="14.28515625" style="3" customWidth="1"/>
    <col min="17" max="17" width="17.42578125" style="3" customWidth="1"/>
    <col min="18" max="18" width="19.140625" style="3" customWidth="1"/>
    <col min="19" max="19" width="17.5703125" style="3" customWidth="1"/>
    <col min="20" max="21" width="12.7109375" style="3" customWidth="1"/>
    <col min="22" max="23" width="10.7109375" style="3" customWidth="1"/>
    <col min="24" max="24" width="34" style="3" customWidth="1"/>
    <col min="25" max="25" width="17.140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65</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30"/>
      <c r="B4" s="2831"/>
      <c r="C4" s="2831"/>
      <c r="D4" s="2831"/>
      <c r="E4" s="2831"/>
      <c r="F4" s="2831"/>
      <c r="G4" s="2831"/>
      <c r="H4" s="2831"/>
      <c r="I4" s="2831"/>
      <c r="J4" s="2831"/>
      <c r="K4" s="2831"/>
      <c r="L4" s="2831"/>
      <c r="M4" s="2831"/>
      <c r="N4" s="2831"/>
      <c r="O4" s="2831"/>
      <c r="P4" s="2831"/>
      <c r="Q4" s="2831"/>
      <c r="R4" s="2831"/>
      <c r="S4" s="2831"/>
      <c r="T4" s="2831"/>
      <c r="U4" s="2831"/>
      <c r="V4" s="2831"/>
      <c r="W4" s="2831"/>
      <c r="X4" s="2831"/>
      <c r="Y4" s="2832"/>
    </row>
    <row r="5" spans="1:25"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7" t="s">
        <v>12</v>
      </c>
      <c r="O5" s="2837" t="s">
        <v>72</v>
      </c>
      <c r="P5" s="2839" t="s">
        <v>1</v>
      </c>
      <c r="Q5" s="2837" t="s">
        <v>13</v>
      </c>
      <c r="R5" s="2837" t="s">
        <v>14</v>
      </c>
      <c r="S5" s="2837" t="s">
        <v>16</v>
      </c>
      <c r="T5" s="2837" t="s">
        <v>15</v>
      </c>
      <c r="U5" s="2837" t="s">
        <v>89</v>
      </c>
      <c r="V5" s="2839" t="s">
        <v>6</v>
      </c>
      <c r="W5" s="2839" t="s">
        <v>7</v>
      </c>
      <c r="X5" s="2837" t="s">
        <v>0</v>
      </c>
      <c r="Y5" s="2838" t="s">
        <v>76</v>
      </c>
    </row>
    <row r="6" spans="1:25" ht="42.75" customHeight="1">
      <c r="A6" s="2836"/>
      <c r="B6" s="2836"/>
      <c r="C6" s="2836"/>
      <c r="D6" s="2836"/>
      <c r="E6" s="2836"/>
      <c r="F6" s="2836"/>
      <c r="G6" s="2836"/>
      <c r="H6" s="2836"/>
      <c r="I6" s="2836"/>
      <c r="J6" s="2836"/>
      <c r="K6" s="2836"/>
      <c r="L6" s="2836"/>
      <c r="M6" s="2838"/>
      <c r="N6" s="2837"/>
      <c r="O6" s="2837"/>
      <c r="P6" s="2839"/>
      <c r="Q6" s="2837"/>
      <c r="R6" s="2837"/>
      <c r="S6" s="2837"/>
      <c r="T6" s="2837"/>
      <c r="U6" s="2837"/>
      <c r="V6" s="2839"/>
      <c r="W6" s="2839"/>
      <c r="X6" s="2837"/>
      <c r="Y6" s="2838"/>
    </row>
    <row r="7" spans="1:25">
      <c r="A7" s="867"/>
      <c r="B7" s="244">
        <v>54</v>
      </c>
      <c r="C7" s="244" t="s">
        <v>100</v>
      </c>
      <c r="D7" s="868" t="s">
        <v>448</v>
      </c>
      <c r="E7" s="869"/>
      <c r="F7" s="246"/>
      <c r="G7" s="246"/>
      <c r="H7" s="246"/>
      <c r="I7" s="246"/>
      <c r="J7" s="246"/>
      <c r="K7" s="247"/>
      <c r="L7" s="246"/>
      <c r="M7" s="245"/>
      <c r="N7" s="869"/>
      <c r="O7" s="869"/>
      <c r="P7" s="246"/>
      <c r="Q7" s="246"/>
      <c r="R7" s="246"/>
      <c r="S7" s="246"/>
      <c r="T7" s="246"/>
      <c r="U7" s="246"/>
      <c r="V7" s="246"/>
      <c r="W7" s="246"/>
      <c r="X7" s="870"/>
      <c r="Y7" s="871"/>
    </row>
    <row r="8" spans="1:25">
      <c r="A8" s="238"/>
      <c r="B8" s="872">
        <v>5401</v>
      </c>
      <c r="C8" s="872" t="s">
        <v>101</v>
      </c>
      <c r="D8" s="873" t="s">
        <v>120</v>
      </c>
      <c r="E8" s="212"/>
      <c r="F8" s="238"/>
      <c r="G8" s="238"/>
      <c r="H8" s="238"/>
      <c r="I8" s="238"/>
      <c r="J8" s="238"/>
      <c r="K8" s="240"/>
      <c r="L8" s="238"/>
      <c r="M8" s="237"/>
      <c r="N8" s="212"/>
      <c r="O8" s="212"/>
      <c r="P8" s="238"/>
      <c r="Q8" s="238"/>
      <c r="R8" s="238"/>
      <c r="S8" s="238"/>
      <c r="T8" s="241"/>
      <c r="U8" s="241"/>
      <c r="V8" s="238"/>
      <c r="W8" s="238"/>
      <c r="X8" s="874"/>
      <c r="Y8" s="875"/>
    </row>
    <row r="9" spans="1:25">
      <c r="A9" s="211"/>
      <c r="B9" s="876">
        <v>5401002</v>
      </c>
      <c r="C9" s="876" t="s">
        <v>102</v>
      </c>
      <c r="D9" s="434" t="s">
        <v>449</v>
      </c>
      <c r="E9" s="212"/>
      <c r="F9" s="212"/>
      <c r="G9" s="212"/>
      <c r="H9" s="212"/>
      <c r="I9" s="235"/>
      <c r="J9" s="235"/>
      <c r="K9" s="211"/>
      <c r="L9" s="211"/>
      <c r="M9" s="237"/>
      <c r="N9" s="236"/>
      <c r="O9" s="251"/>
      <c r="P9" s="235"/>
      <c r="Q9" s="238"/>
      <c r="R9" s="238"/>
      <c r="S9" s="238"/>
      <c r="T9" s="241"/>
      <c r="U9" s="241"/>
      <c r="V9" s="238"/>
      <c r="W9" s="238"/>
      <c r="X9" s="874"/>
      <c r="Y9" s="877"/>
    </row>
    <row r="10" spans="1:25">
      <c r="A10" s="211"/>
      <c r="B10" s="878">
        <v>54010020001</v>
      </c>
      <c r="C10" s="878" t="s">
        <v>103</v>
      </c>
      <c r="D10" s="235" t="s">
        <v>450</v>
      </c>
      <c r="E10" s="212"/>
      <c r="F10" s="211">
        <v>1</v>
      </c>
      <c r="G10" s="212"/>
      <c r="H10" s="240">
        <f>SUM(H12)</f>
        <v>1</v>
      </c>
      <c r="I10" s="235"/>
      <c r="J10" s="235"/>
      <c r="K10" s="211"/>
      <c r="L10" s="211"/>
      <c r="M10" s="237"/>
      <c r="N10" s="251"/>
      <c r="O10" s="251"/>
      <c r="P10" s="235"/>
      <c r="Q10" s="238"/>
      <c r="R10" s="241"/>
      <c r="S10" s="238"/>
      <c r="T10" s="241"/>
      <c r="U10" s="241"/>
      <c r="V10" s="238"/>
      <c r="W10" s="238"/>
      <c r="X10" s="874"/>
      <c r="Y10" s="879"/>
    </row>
    <row r="11" spans="1:25">
      <c r="A11" s="2823">
        <v>4112</v>
      </c>
      <c r="B11" s="2827"/>
      <c r="C11" s="2827" t="s">
        <v>451</v>
      </c>
      <c r="D11" s="2828" t="s">
        <v>452</v>
      </c>
      <c r="E11" s="213" t="s">
        <v>453</v>
      </c>
      <c r="F11" s="326"/>
      <c r="G11" s="417"/>
      <c r="H11" s="881"/>
      <c r="I11" s="417"/>
      <c r="J11" s="417"/>
      <c r="K11" s="417"/>
      <c r="L11" s="473">
        <f>SUM(L12)</f>
        <v>1</v>
      </c>
      <c r="M11" s="414"/>
      <c r="N11" s="476">
        <f>SUM(N12)</f>
        <v>0.2</v>
      </c>
      <c r="O11" s="2829">
        <f>IF(Q11&gt;0, N11,"na")</f>
        <v>0.2</v>
      </c>
      <c r="P11" s="445">
        <f t="shared" ref="P11:S11" si="0">SUM(P12)</f>
        <v>700000000</v>
      </c>
      <c r="Q11" s="445">
        <f t="shared" si="0"/>
        <v>700000000</v>
      </c>
      <c r="R11" s="445">
        <f t="shared" si="0"/>
        <v>210740000</v>
      </c>
      <c r="S11" s="445">
        <f t="shared" si="0"/>
        <v>94320000</v>
      </c>
      <c r="T11" s="473">
        <f t="shared" ref="T11:U12" si="1">IF(Q11=0,0,R11/Q11)</f>
        <v>0.30105714285714286</v>
      </c>
      <c r="U11" s="473">
        <f t="shared" si="1"/>
        <v>0.44756572079339468</v>
      </c>
      <c r="V11" s="453"/>
      <c r="W11" s="453"/>
      <c r="X11" s="882"/>
      <c r="Y11" s="883"/>
    </row>
    <row r="12" spans="1:25" ht="283.5" customHeight="1">
      <c r="A12" s="2825"/>
      <c r="B12" s="2825"/>
      <c r="C12" s="2825"/>
      <c r="D12" s="2825"/>
      <c r="E12" s="863" t="s">
        <v>454</v>
      </c>
      <c r="F12" s="326"/>
      <c r="G12" s="265" t="s">
        <v>450</v>
      </c>
      <c r="H12" s="326">
        <v>1</v>
      </c>
      <c r="I12" s="265" t="s">
        <v>455</v>
      </c>
      <c r="J12" s="265" t="s">
        <v>456</v>
      </c>
      <c r="K12" s="417">
        <v>1</v>
      </c>
      <c r="L12" s="473">
        <v>1</v>
      </c>
      <c r="M12" s="414">
        <v>0</v>
      </c>
      <c r="N12" s="476">
        <v>0.2</v>
      </c>
      <c r="O12" s="2825"/>
      <c r="P12" s="445">
        <v>700000000</v>
      </c>
      <c r="Q12" s="445">
        <v>700000000</v>
      </c>
      <c r="R12" s="445">
        <v>210740000</v>
      </c>
      <c r="S12" s="445">
        <v>94320000</v>
      </c>
      <c r="T12" s="473">
        <f t="shared" si="1"/>
        <v>0.30105714285714286</v>
      </c>
      <c r="U12" s="473">
        <f t="shared" si="1"/>
        <v>0.44756572079339468</v>
      </c>
      <c r="V12" s="453">
        <v>45373</v>
      </c>
      <c r="W12" s="453">
        <v>45657</v>
      </c>
      <c r="X12" s="884" t="s">
        <v>4705</v>
      </c>
      <c r="Y12" s="885" t="s">
        <v>457</v>
      </c>
    </row>
    <row r="13" spans="1:25">
      <c r="A13" s="238"/>
      <c r="B13" s="878">
        <v>54010020003</v>
      </c>
      <c r="C13" s="878" t="s">
        <v>103</v>
      </c>
      <c r="D13" s="238" t="s">
        <v>4706</v>
      </c>
      <c r="E13" s="212"/>
      <c r="F13" s="240">
        <v>1</v>
      </c>
      <c r="G13" s="238"/>
      <c r="H13" s="240">
        <f>SUM(H15)</f>
        <v>1</v>
      </c>
      <c r="I13" s="238"/>
      <c r="J13" s="238"/>
      <c r="K13" s="238"/>
      <c r="L13" s="241"/>
      <c r="M13" s="237"/>
      <c r="N13" s="475"/>
      <c r="O13" s="474"/>
      <c r="P13" s="450"/>
      <c r="Q13" s="450"/>
      <c r="R13" s="450"/>
      <c r="S13" s="450"/>
      <c r="T13" s="241"/>
      <c r="U13" s="241"/>
      <c r="V13" s="451"/>
      <c r="W13" s="451"/>
      <c r="X13" s="886"/>
      <c r="Y13" s="885"/>
    </row>
    <row r="14" spans="1:25" ht="16.5" customHeight="1">
      <c r="A14" s="2823">
        <v>4112</v>
      </c>
      <c r="B14" s="2827"/>
      <c r="C14" s="2827" t="s">
        <v>451</v>
      </c>
      <c r="D14" s="2828" t="s">
        <v>4707</v>
      </c>
      <c r="E14" s="213" t="s">
        <v>4708</v>
      </c>
      <c r="F14" s="326"/>
      <c r="G14" s="417"/>
      <c r="H14" s="881"/>
      <c r="I14" s="417"/>
      <c r="J14" s="417"/>
      <c r="K14" s="417"/>
      <c r="L14" s="473">
        <f>SUM(L15)</f>
        <v>1</v>
      </c>
      <c r="M14" s="414"/>
      <c r="N14" s="476">
        <f>SUM(N15)</f>
        <v>0.15</v>
      </c>
      <c r="O14" s="2829">
        <f>IF(Q14&gt;0, N14,"na")</f>
        <v>0.15</v>
      </c>
      <c r="P14" s="445">
        <f t="shared" ref="P14:S14" si="2">SUM(P15)</f>
        <v>0</v>
      </c>
      <c r="Q14" s="445">
        <f t="shared" si="2"/>
        <v>650000000</v>
      </c>
      <c r="R14" s="445">
        <f t="shared" si="2"/>
        <v>367281000</v>
      </c>
      <c r="S14" s="445">
        <f t="shared" si="2"/>
        <v>85432000</v>
      </c>
      <c r="T14" s="473">
        <f t="shared" ref="T14:U15" si="3">IF(Q14=0,0,R14/Q14)</f>
        <v>0.56504769230769236</v>
      </c>
      <c r="U14" s="473">
        <f t="shared" si="3"/>
        <v>0.23260664178108859</v>
      </c>
      <c r="V14" s="453"/>
      <c r="W14" s="453"/>
      <c r="X14" s="887"/>
      <c r="Y14" s="885"/>
    </row>
    <row r="15" spans="1:25" ht="81">
      <c r="A15" s="2825"/>
      <c r="B15" s="2825"/>
      <c r="C15" s="2825"/>
      <c r="D15" s="2825"/>
      <c r="E15" s="863" t="s">
        <v>4709</v>
      </c>
      <c r="F15" s="326"/>
      <c r="G15" s="265" t="s">
        <v>4710</v>
      </c>
      <c r="H15" s="326">
        <v>1</v>
      </c>
      <c r="I15" s="888" t="s">
        <v>4711</v>
      </c>
      <c r="J15" s="265" t="s">
        <v>456</v>
      </c>
      <c r="K15" s="417">
        <v>1</v>
      </c>
      <c r="L15" s="473">
        <v>1</v>
      </c>
      <c r="M15" s="445">
        <v>0</v>
      </c>
      <c r="N15" s="473">
        <v>0.15</v>
      </c>
      <c r="O15" s="2825"/>
      <c r="P15" s="445">
        <v>0</v>
      </c>
      <c r="Q15" s="445">
        <v>650000000</v>
      </c>
      <c r="R15" s="445">
        <v>367281000</v>
      </c>
      <c r="S15" s="445">
        <v>85432000</v>
      </c>
      <c r="T15" s="473">
        <f t="shared" si="3"/>
        <v>0.56504769230769236</v>
      </c>
      <c r="U15" s="473">
        <f t="shared" si="3"/>
        <v>0.23260664178108859</v>
      </c>
      <c r="V15" s="453">
        <v>45067</v>
      </c>
      <c r="W15" s="889">
        <v>45657</v>
      </c>
      <c r="X15" s="884" t="s">
        <v>4712</v>
      </c>
      <c r="Y15" s="885" t="s">
        <v>457</v>
      </c>
    </row>
    <row r="16" spans="1:25" ht="16.5" customHeight="1">
      <c r="A16" s="238"/>
      <c r="B16" s="890">
        <v>5402</v>
      </c>
      <c r="C16" s="890" t="s">
        <v>101</v>
      </c>
      <c r="D16" s="873" t="s">
        <v>104</v>
      </c>
      <c r="E16" s="891"/>
      <c r="F16" s="240"/>
      <c r="G16" s="238"/>
      <c r="H16" s="238"/>
      <c r="I16" s="238"/>
      <c r="J16" s="238"/>
      <c r="K16" s="238"/>
      <c r="L16" s="241"/>
      <c r="M16" s="450"/>
      <c r="N16" s="241"/>
      <c r="O16" s="241"/>
      <c r="P16" s="450"/>
      <c r="Q16" s="450"/>
      <c r="R16" s="450"/>
      <c r="S16" s="450"/>
      <c r="T16" s="241"/>
      <c r="U16" s="241"/>
      <c r="V16" s="451"/>
      <c r="W16" s="451"/>
      <c r="X16" s="892"/>
      <c r="Y16" s="875"/>
    </row>
    <row r="17" spans="1:25">
      <c r="A17" s="238"/>
      <c r="B17" s="893">
        <v>5402001</v>
      </c>
      <c r="C17" s="893" t="s">
        <v>102</v>
      </c>
      <c r="D17" s="434" t="s">
        <v>105</v>
      </c>
      <c r="E17" s="891"/>
      <c r="F17" s="240"/>
      <c r="G17" s="238"/>
      <c r="H17" s="238"/>
      <c r="I17" s="238"/>
      <c r="J17" s="238"/>
      <c r="K17" s="238"/>
      <c r="L17" s="241"/>
      <c r="M17" s="450"/>
      <c r="N17" s="241"/>
      <c r="O17" s="241"/>
      <c r="P17" s="450"/>
      <c r="Q17" s="450"/>
      <c r="R17" s="450"/>
      <c r="S17" s="450"/>
      <c r="T17" s="241"/>
      <c r="U17" s="241"/>
      <c r="V17" s="451"/>
      <c r="W17" s="451"/>
      <c r="X17" s="886"/>
      <c r="Y17" s="877"/>
    </row>
    <row r="18" spans="1:25">
      <c r="A18" s="238"/>
      <c r="B18" s="894">
        <v>54020010002</v>
      </c>
      <c r="C18" s="894" t="s">
        <v>103</v>
      </c>
      <c r="D18" s="235" t="s">
        <v>458</v>
      </c>
      <c r="E18" s="891"/>
      <c r="F18" s="401">
        <v>3</v>
      </c>
      <c r="G18" s="238"/>
      <c r="H18" s="240">
        <f>+H20+H21</f>
        <v>3</v>
      </c>
      <c r="I18" s="417"/>
      <c r="J18" s="238"/>
      <c r="K18" s="238"/>
      <c r="L18" s="241"/>
      <c r="M18" s="238"/>
      <c r="N18" s="241"/>
      <c r="O18" s="241"/>
      <c r="P18" s="450"/>
      <c r="Q18" s="450"/>
      <c r="R18" s="450"/>
      <c r="S18" s="450"/>
      <c r="T18" s="241"/>
      <c r="U18" s="241"/>
      <c r="V18" s="451"/>
      <c r="W18" s="451"/>
      <c r="X18" s="886"/>
      <c r="Y18" s="895"/>
    </row>
    <row r="19" spans="1:25" ht="16.5" customHeight="1">
      <c r="A19" s="2823">
        <v>4112</v>
      </c>
      <c r="B19" s="2843"/>
      <c r="C19" s="2843" t="s">
        <v>451</v>
      </c>
      <c r="D19" s="2828" t="s">
        <v>459</v>
      </c>
      <c r="E19" s="863" t="s">
        <v>460</v>
      </c>
      <c r="F19" s="326"/>
      <c r="G19" s="417"/>
      <c r="H19" s="881"/>
      <c r="I19" s="417"/>
      <c r="J19" s="417"/>
      <c r="K19" s="417"/>
      <c r="L19" s="473">
        <f>SUM(L20:L21)</f>
        <v>1</v>
      </c>
      <c r="M19" s="417"/>
      <c r="N19" s="473">
        <f>SUM(N20:N21)</f>
        <v>0.3</v>
      </c>
      <c r="O19" s="2826">
        <f>IF(Q19&gt;0, N19,"na")</f>
        <v>0.3</v>
      </c>
      <c r="P19" s="896">
        <f t="shared" ref="P19:S19" si="4">SUM(P20:P21)</f>
        <v>340000000</v>
      </c>
      <c r="Q19" s="896">
        <f t="shared" si="4"/>
        <v>340000000</v>
      </c>
      <c r="R19" s="896">
        <f t="shared" si="4"/>
        <v>66371000</v>
      </c>
      <c r="S19" s="445">
        <f t="shared" si="4"/>
        <v>41827000</v>
      </c>
      <c r="T19" s="473">
        <f t="shared" ref="T19:U21" si="5">IF(Q19=0,0,R19/Q19)</f>
        <v>0.19520882352941177</v>
      </c>
      <c r="U19" s="473">
        <f t="shared" si="5"/>
        <v>0.63019993671935037</v>
      </c>
      <c r="V19" s="453"/>
      <c r="W19" s="453"/>
      <c r="X19" s="886"/>
      <c r="Y19" s="885"/>
    </row>
    <row r="20" spans="1:25" ht="16.5" customHeight="1">
      <c r="A20" s="2824"/>
      <c r="B20" s="2824"/>
      <c r="C20" s="2824"/>
      <c r="D20" s="2824"/>
      <c r="E20" s="863" t="s">
        <v>461</v>
      </c>
      <c r="F20" s="326"/>
      <c r="G20" s="417"/>
      <c r="H20" s="417"/>
      <c r="I20" s="265" t="s">
        <v>462</v>
      </c>
      <c r="J20" s="265" t="s">
        <v>463</v>
      </c>
      <c r="K20" s="417">
        <v>1</v>
      </c>
      <c r="L20" s="473">
        <v>0.3</v>
      </c>
      <c r="M20" s="417">
        <v>0</v>
      </c>
      <c r="N20" s="897">
        <v>0.25</v>
      </c>
      <c r="O20" s="2824"/>
      <c r="P20" s="896">
        <v>165000000</v>
      </c>
      <c r="Q20" s="445">
        <v>200232000</v>
      </c>
      <c r="R20" s="445">
        <v>32099000</v>
      </c>
      <c r="S20" s="445">
        <v>18979000</v>
      </c>
      <c r="T20" s="473">
        <f t="shared" si="5"/>
        <v>0.16030904151184625</v>
      </c>
      <c r="U20" s="473">
        <f t="shared" si="5"/>
        <v>0.59126452537462226</v>
      </c>
      <c r="V20" s="453">
        <v>45348</v>
      </c>
      <c r="W20" s="453">
        <v>45657</v>
      </c>
      <c r="X20" s="884" t="s">
        <v>4713</v>
      </c>
      <c r="Y20" s="2841" t="s">
        <v>457</v>
      </c>
    </row>
    <row r="21" spans="1:25" ht="81">
      <c r="A21" s="2825"/>
      <c r="B21" s="2825"/>
      <c r="C21" s="2825"/>
      <c r="D21" s="2825"/>
      <c r="E21" s="863" t="s">
        <v>464</v>
      </c>
      <c r="F21" s="326"/>
      <c r="G21" s="265" t="s">
        <v>458</v>
      </c>
      <c r="H21" s="326">
        <v>3</v>
      </c>
      <c r="I21" s="265" t="s">
        <v>465</v>
      </c>
      <c r="J21" s="265" t="s">
        <v>122</v>
      </c>
      <c r="K21" s="417">
        <v>3</v>
      </c>
      <c r="L21" s="473">
        <v>0.7</v>
      </c>
      <c r="M21" s="417">
        <v>0</v>
      </c>
      <c r="N21" s="897">
        <v>0.05</v>
      </c>
      <c r="O21" s="2825"/>
      <c r="P21" s="896">
        <v>175000000</v>
      </c>
      <c r="Q21" s="445">
        <v>139768000</v>
      </c>
      <c r="R21" s="445">
        <v>34272000</v>
      </c>
      <c r="S21" s="445">
        <v>22848000</v>
      </c>
      <c r="T21" s="473">
        <f t="shared" si="5"/>
        <v>0.24520634193806881</v>
      </c>
      <c r="U21" s="473">
        <f t="shared" si="5"/>
        <v>0.66666666666666663</v>
      </c>
      <c r="V21" s="453">
        <v>45426</v>
      </c>
      <c r="W21" s="889">
        <v>45596</v>
      </c>
      <c r="X21" s="884" t="s">
        <v>4714</v>
      </c>
      <c r="Y21" s="2842"/>
    </row>
    <row r="22" spans="1:25">
      <c r="A22" s="238"/>
      <c r="B22" s="894">
        <v>54020010003</v>
      </c>
      <c r="C22" s="894" t="s">
        <v>103</v>
      </c>
      <c r="D22" s="235" t="s">
        <v>466</v>
      </c>
      <c r="E22" s="891"/>
      <c r="F22" s="401">
        <v>3</v>
      </c>
      <c r="G22" s="238"/>
      <c r="H22" s="240">
        <f>+H24+H25</f>
        <v>3</v>
      </c>
      <c r="I22" s="417"/>
      <c r="J22" s="238"/>
      <c r="K22" s="238"/>
      <c r="L22" s="241"/>
      <c r="M22" s="238"/>
      <c r="N22" s="241"/>
      <c r="O22" s="241"/>
      <c r="P22" s="450"/>
      <c r="Q22" s="450"/>
      <c r="R22" s="450"/>
      <c r="S22" s="450"/>
      <c r="T22" s="241"/>
      <c r="U22" s="241"/>
      <c r="V22" s="451"/>
      <c r="W22" s="451"/>
      <c r="X22" s="886"/>
      <c r="Y22" s="895"/>
    </row>
    <row r="23" spans="1:25" ht="16.5" customHeight="1">
      <c r="A23" s="2823">
        <v>4112</v>
      </c>
      <c r="B23" s="2843"/>
      <c r="C23" s="2843" t="s">
        <v>451</v>
      </c>
      <c r="D23" s="2828" t="s">
        <v>467</v>
      </c>
      <c r="E23" s="863" t="s">
        <v>468</v>
      </c>
      <c r="F23" s="326"/>
      <c r="G23" s="417"/>
      <c r="H23" s="881"/>
      <c r="I23" s="417"/>
      <c r="J23" s="417"/>
      <c r="K23" s="417"/>
      <c r="L23" s="473">
        <f>SUM(L24:L25)</f>
        <v>1</v>
      </c>
      <c r="M23" s="417"/>
      <c r="N23" s="473">
        <f>SUM(N24:N25)</f>
        <v>0.16999999999999998</v>
      </c>
      <c r="O23" s="2826">
        <f>IF(Q23&gt;0, N23,"na")</f>
        <v>0.16999999999999998</v>
      </c>
      <c r="P23" s="445">
        <f t="shared" ref="P23:S23" si="6">SUM(P24:P25)</f>
        <v>300000000</v>
      </c>
      <c r="Q23" s="445">
        <f t="shared" si="6"/>
        <v>300000000</v>
      </c>
      <c r="R23" s="445">
        <f t="shared" si="6"/>
        <v>168820000</v>
      </c>
      <c r="S23" s="445">
        <f t="shared" si="6"/>
        <v>81160000</v>
      </c>
      <c r="T23" s="473">
        <f t="shared" ref="T23:U25" si="7">IF(Q23=0,0,R23/Q23)</f>
        <v>0.56273333333333331</v>
      </c>
      <c r="U23" s="473">
        <f t="shared" si="7"/>
        <v>0.48074872645421157</v>
      </c>
      <c r="V23" s="453"/>
      <c r="W23" s="453"/>
      <c r="X23" s="886"/>
      <c r="Y23" s="885"/>
    </row>
    <row r="24" spans="1:25" ht="67.5">
      <c r="A24" s="2824"/>
      <c r="B24" s="2824"/>
      <c r="C24" s="2824"/>
      <c r="D24" s="2824"/>
      <c r="E24" s="863" t="s">
        <v>469</v>
      </c>
      <c r="F24" s="326"/>
      <c r="G24" s="417"/>
      <c r="H24" s="417"/>
      <c r="I24" s="265" t="s">
        <v>470</v>
      </c>
      <c r="J24" s="265" t="s">
        <v>121</v>
      </c>
      <c r="K24" s="417">
        <v>5</v>
      </c>
      <c r="L24" s="473">
        <v>0.3</v>
      </c>
      <c r="M24" s="417">
        <v>2</v>
      </c>
      <c r="N24" s="473">
        <v>0.12</v>
      </c>
      <c r="O24" s="2824"/>
      <c r="P24" s="445">
        <v>164986000</v>
      </c>
      <c r="Q24" s="445">
        <v>208552000</v>
      </c>
      <c r="R24" s="896">
        <v>134548000</v>
      </c>
      <c r="S24" s="445">
        <v>81160000</v>
      </c>
      <c r="T24" s="473">
        <f t="shared" si="7"/>
        <v>0.64515324715178946</v>
      </c>
      <c r="U24" s="473">
        <f t="shared" si="7"/>
        <v>0.60320480423343337</v>
      </c>
      <c r="V24" s="453">
        <v>45339</v>
      </c>
      <c r="W24" s="453">
        <v>45657</v>
      </c>
      <c r="X24" s="884" t="s">
        <v>4715</v>
      </c>
      <c r="Y24" s="2841" t="s">
        <v>457</v>
      </c>
    </row>
    <row r="25" spans="1:25" ht="324" customHeight="1">
      <c r="A25" s="2825"/>
      <c r="B25" s="2825"/>
      <c r="C25" s="2825"/>
      <c r="D25" s="2825"/>
      <c r="E25" s="863" t="s">
        <v>471</v>
      </c>
      <c r="F25" s="326"/>
      <c r="G25" s="265" t="s">
        <v>466</v>
      </c>
      <c r="H25" s="326">
        <v>3</v>
      </c>
      <c r="I25" s="265" t="s">
        <v>472</v>
      </c>
      <c r="J25" s="265" t="s">
        <v>122</v>
      </c>
      <c r="K25" s="417">
        <v>3</v>
      </c>
      <c r="L25" s="473">
        <v>0.7</v>
      </c>
      <c r="M25" s="417">
        <v>0</v>
      </c>
      <c r="N25" s="473">
        <v>0.05</v>
      </c>
      <c r="O25" s="2825"/>
      <c r="P25" s="445">
        <v>135014000</v>
      </c>
      <c r="Q25" s="445">
        <v>91448000</v>
      </c>
      <c r="R25" s="445">
        <v>34272000</v>
      </c>
      <c r="S25" s="445">
        <v>0</v>
      </c>
      <c r="T25" s="473">
        <f t="shared" si="7"/>
        <v>0.37477036129822411</v>
      </c>
      <c r="U25" s="473">
        <f t="shared" si="7"/>
        <v>0</v>
      </c>
      <c r="V25" s="453">
        <v>45426</v>
      </c>
      <c r="W25" s="889">
        <v>45596</v>
      </c>
      <c r="X25" s="884" t="s">
        <v>4716</v>
      </c>
      <c r="Y25" s="2842"/>
    </row>
    <row r="26" spans="1:25">
      <c r="A26" s="240"/>
      <c r="B26" s="898">
        <v>54020010044</v>
      </c>
      <c r="C26" s="894" t="s">
        <v>103</v>
      </c>
      <c r="D26" s="235" t="s">
        <v>473</v>
      </c>
      <c r="E26" s="891"/>
      <c r="F26" s="240">
        <v>1</v>
      </c>
      <c r="G26" s="238"/>
      <c r="H26" s="240">
        <f>+H28+H29</f>
        <v>1</v>
      </c>
      <c r="I26" s="417"/>
      <c r="J26" s="238"/>
      <c r="K26" s="238"/>
      <c r="L26" s="241"/>
      <c r="M26" s="238"/>
      <c r="N26" s="241"/>
      <c r="O26" s="241"/>
      <c r="P26" s="450"/>
      <c r="Q26" s="450"/>
      <c r="R26" s="450"/>
      <c r="S26" s="450"/>
      <c r="T26" s="241"/>
      <c r="U26" s="241"/>
      <c r="V26" s="451"/>
      <c r="W26" s="451"/>
      <c r="X26" s="886"/>
      <c r="Y26" s="895"/>
    </row>
    <row r="27" spans="1:25">
      <c r="A27" s="2823">
        <v>4112</v>
      </c>
      <c r="B27" s="2843"/>
      <c r="C27" s="2843" t="s">
        <v>451</v>
      </c>
      <c r="D27" s="2844" t="s">
        <v>474</v>
      </c>
      <c r="E27" s="863" t="s">
        <v>475</v>
      </c>
      <c r="F27" s="326"/>
      <c r="G27" s="417"/>
      <c r="H27" s="881"/>
      <c r="I27" s="417"/>
      <c r="J27" s="417"/>
      <c r="K27" s="417"/>
      <c r="L27" s="473">
        <f>SUM(L28:L29)</f>
        <v>1</v>
      </c>
      <c r="M27" s="417"/>
      <c r="N27" s="473">
        <f>SUM(N28:N29)</f>
        <v>0.2</v>
      </c>
      <c r="O27" s="2845">
        <f>IF(Q27&gt;0, N27,"na")</f>
        <v>0.2</v>
      </c>
      <c r="P27" s="445">
        <f t="shared" ref="P27:S27" si="8">SUM(P28:P29)</f>
        <v>260000000</v>
      </c>
      <c r="Q27" s="445">
        <f t="shared" si="8"/>
        <v>260000000</v>
      </c>
      <c r="R27" s="445">
        <f t="shared" si="8"/>
        <v>15693000</v>
      </c>
      <c r="S27" s="445">
        <f t="shared" si="8"/>
        <v>15693000</v>
      </c>
      <c r="T27" s="473">
        <f t="shared" ref="T27:U29" si="9">IF(Q27=0,0,R27/Q27)</f>
        <v>6.0357692307692307E-2</v>
      </c>
      <c r="U27" s="473">
        <f t="shared" si="9"/>
        <v>1</v>
      </c>
      <c r="V27" s="453"/>
      <c r="W27" s="453"/>
      <c r="X27" s="886"/>
      <c r="Y27" s="885"/>
    </row>
    <row r="28" spans="1:25" ht="175.5">
      <c r="A28" s="2824"/>
      <c r="B28" s="2824"/>
      <c r="C28" s="2824"/>
      <c r="D28" s="2824"/>
      <c r="E28" s="863" t="s">
        <v>476</v>
      </c>
      <c r="F28" s="326"/>
      <c r="G28" s="265" t="s">
        <v>473</v>
      </c>
      <c r="H28" s="326">
        <v>1</v>
      </c>
      <c r="I28" s="265" t="s">
        <v>477</v>
      </c>
      <c r="J28" s="265" t="s">
        <v>121</v>
      </c>
      <c r="K28" s="417">
        <v>1</v>
      </c>
      <c r="L28" s="473">
        <v>0.52</v>
      </c>
      <c r="M28" s="417">
        <v>0</v>
      </c>
      <c r="N28" s="473">
        <v>0.2</v>
      </c>
      <c r="O28" s="2824"/>
      <c r="P28" s="445">
        <v>137541000</v>
      </c>
      <c r="Q28" s="445">
        <v>122541000</v>
      </c>
      <c r="R28" s="445">
        <v>15693000</v>
      </c>
      <c r="S28" s="445">
        <v>15693000</v>
      </c>
      <c r="T28" s="473">
        <f t="shared" si="9"/>
        <v>0.12806326045976449</v>
      </c>
      <c r="U28" s="473">
        <f t="shared" si="9"/>
        <v>1</v>
      </c>
      <c r="V28" s="453">
        <v>45351</v>
      </c>
      <c r="W28" s="453">
        <v>45657</v>
      </c>
      <c r="X28" s="884" t="s">
        <v>4717</v>
      </c>
      <c r="Y28" s="2841" t="s">
        <v>457</v>
      </c>
    </row>
    <row r="29" spans="1:25" ht="67.5">
      <c r="A29" s="2825"/>
      <c r="B29" s="2825"/>
      <c r="C29" s="2825"/>
      <c r="D29" s="2825"/>
      <c r="E29" s="863" t="s">
        <v>478</v>
      </c>
      <c r="F29" s="326"/>
      <c r="G29" s="417"/>
      <c r="H29" s="417"/>
      <c r="I29" s="265" t="s">
        <v>479</v>
      </c>
      <c r="J29" s="265" t="s">
        <v>124</v>
      </c>
      <c r="K29" s="417">
        <v>1</v>
      </c>
      <c r="L29" s="473">
        <v>0.48</v>
      </c>
      <c r="M29" s="417">
        <v>0</v>
      </c>
      <c r="N29" s="473">
        <v>0</v>
      </c>
      <c r="O29" s="2825"/>
      <c r="P29" s="445">
        <v>122459000</v>
      </c>
      <c r="Q29" s="896">
        <v>137459000</v>
      </c>
      <c r="R29" s="896">
        <v>0</v>
      </c>
      <c r="S29" s="445">
        <v>0</v>
      </c>
      <c r="T29" s="473">
        <f t="shared" si="9"/>
        <v>0</v>
      </c>
      <c r="U29" s="473">
        <f t="shared" si="9"/>
        <v>0</v>
      </c>
      <c r="V29" s="453"/>
      <c r="W29" s="453"/>
      <c r="X29" s="900"/>
      <c r="Y29" s="2842"/>
    </row>
    <row r="30" spans="1:25">
      <c r="A30" s="240"/>
      <c r="B30" s="249">
        <v>5403</v>
      </c>
      <c r="C30" s="249" t="s">
        <v>101</v>
      </c>
      <c r="D30" s="248" t="s">
        <v>480</v>
      </c>
      <c r="E30" s="891"/>
      <c r="F30" s="240"/>
      <c r="G30" s="238"/>
      <c r="H30" s="238"/>
      <c r="I30" s="417"/>
      <c r="J30" s="238"/>
      <c r="K30" s="238"/>
      <c r="L30" s="241"/>
      <c r="M30" s="238"/>
      <c r="N30" s="241"/>
      <c r="O30" s="241"/>
      <c r="P30" s="450"/>
      <c r="Q30" s="450"/>
      <c r="R30" s="901"/>
      <c r="S30" s="450"/>
      <c r="T30" s="241"/>
      <c r="U30" s="241"/>
      <c r="V30" s="451"/>
      <c r="W30" s="451"/>
      <c r="X30" s="886"/>
      <c r="Y30" s="875"/>
    </row>
    <row r="31" spans="1:25">
      <c r="A31" s="240"/>
      <c r="B31" s="252">
        <v>5403001</v>
      </c>
      <c r="C31" s="252" t="s">
        <v>102</v>
      </c>
      <c r="D31" s="239" t="s">
        <v>481</v>
      </c>
      <c r="E31" s="891"/>
      <c r="F31" s="240"/>
      <c r="G31" s="238"/>
      <c r="H31" s="238"/>
      <c r="I31" s="417"/>
      <c r="J31" s="238"/>
      <c r="K31" s="238"/>
      <c r="L31" s="241"/>
      <c r="M31" s="238"/>
      <c r="N31" s="241"/>
      <c r="O31" s="241"/>
      <c r="P31" s="450"/>
      <c r="Q31" s="450"/>
      <c r="R31" s="450"/>
      <c r="S31" s="450"/>
      <c r="T31" s="241"/>
      <c r="U31" s="241"/>
      <c r="V31" s="451"/>
      <c r="W31" s="451"/>
      <c r="X31" s="886"/>
      <c r="Y31" s="877"/>
    </row>
    <row r="32" spans="1:25" ht="25.5">
      <c r="A32" s="240"/>
      <c r="B32" s="240">
        <v>54030010010</v>
      </c>
      <c r="C32" s="240" t="s">
        <v>103</v>
      </c>
      <c r="D32" s="235" t="s">
        <v>482</v>
      </c>
      <c r="E32" s="891"/>
      <c r="F32" s="240">
        <v>1</v>
      </c>
      <c r="G32" s="238"/>
      <c r="H32" s="240">
        <f>+H34</f>
        <v>1</v>
      </c>
      <c r="I32" s="417"/>
      <c r="J32" s="238"/>
      <c r="K32" s="238"/>
      <c r="L32" s="241"/>
      <c r="M32" s="238"/>
      <c r="N32" s="241"/>
      <c r="O32" s="241"/>
      <c r="P32" s="450"/>
      <c r="Q32" s="450"/>
      <c r="R32" s="450"/>
      <c r="S32" s="450"/>
      <c r="T32" s="241"/>
      <c r="U32" s="241"/>
      <c r="V32" s="451"/>
      <c r="W32" s="451"/>
      <c r="X32" s="886"/>
      <c r="Y32" s="879"/>
    </row>
    <row r="33" spans="1:25" ht="16.5" customHeight="1">
      <c r="A33" s="2823">
        <v>4112</v>
      </c>
      <c r="B33" s="2823"/>
      <c r="C33" s="2823" t="s">
        <v>451</v>
      </c>
      <c r="D33" s="2823" t="s">
        <v>483</v>
      </c>
      <c r="E33" s="863" t="s">
        <v>484</v>
      </c>
      <c r="F33" s="326"/>
      <c r="G33" s="417"/>
      <c r="H33" s="881"/>
      <c r="I33" s="417"/>
      <c r="J33" s="417"/>
      <c r="K33" s="417"/>
      <c r="L33" s="473">
        <f>SUM(L34:L35)</f>
        <v>1</v>
      </c>
      <c r="M33" s="417"/>
      <c r="N33" s="473">
        <f>SUM(N34:N35)</f>
        <v>0.1</v>
      </c>
      <c r="O33" s="2826">
        <f>IF(Q33&gt;0, N33,"na")</f>
        <v>0.1</v>
      </c>
      <c r="P33" s="445">
        <f t="shared" ref="P33:S33" si="10">SUM(P34:P35)</f>
        <v>1000000000</v>
      </c>
      <c r="Q33" s="445">
        <f t="shared" si="10"/>
        <v>1000000000</v>
      </c>
      <c r="R33" s="445">
        <f t="shared" si="10"/>
        <v>119584000</v>
      </c>
      <c r="S33" s="445">
        <f t="shared" si="10"/>
        <v>12658000</v>
      </c>
      <c r="T33" s="473">
        <f t="shared" ref="T33:U35" si="11">IF(Q33=0,0,R33/Q33)</f>
        <v>0.119584</v>
      </c>
      <c r="U33" s="473">
        <f t="shared" si="11"/>
        <v>0.10585028097404335</v>
      </c>
      <c r="V33" s="453"/>
      <c r="W33" s="453"/>
      <c r="X33" s="886"/>
      <c r="Y33" s="883"/>
    </row>
    <row r="34" spans="1:25" ht="94.5">
      <c r="A34" s="2824"/>
      <c r="B34" s="2824"/>
      <c r="C34" s="2824"/>
      <c r="D34" s="2824"/>
      <c r="E34" s="863" t="s">
        <v>4718</v>
      </c>
      <c r="F34" s="326"/>
      <c r="G34" s="880" t="s">
        <v>482</v>
      </c>
      <c r="H34" s="326">
        <v>1</v>
      </c>
      <c r="I34" s="265" t="s">
        <v>4719</v>
      </c>
      <c r="J34" s="265" t="s">
        <v>106</v>
      </c>
      <c r="K34" s="417">
        <v>50</v>
      </c>
      <c r="L34" s="473">
        <v>0.8</v>
      </c>
      <c r="M34" s="417">
        <v>0</v>
      </c>
      <c r="N34" s="473">
        <v>0.05</v>
      </c>
      <c r="O34" s="2824"/>
      <c r="P34" s="445">
        <v>0</v>
      </c>
      <c r="Q34" s="445">
        <v>780610000</v>
      </c>
      <c r="R34" s="445">
        <v>97708000</v>
      </c>
      <c r="S34" s="445">
        <v>5366000</v>
      </c>
      <c r="T34" s="473">
        <f t="shared" si="11"/>
        <v>0.12516877826315317</v>
      </c>
      <c r="U34" s="473">
        <f t="shared" si="11"/>
        <v>5.4918737462643794E-2</v>
      </c>
      <c r="V34" s="453">
        <v>45420</v>
      </c>
      <c r="W34" s="453">
        <v>45657</v>
      </c>
      <c r="X34" s="884" t="s">
        <v>4720</v>
      </c>
      <c r="Y34" s="2846" t="s">
        <v>457</v>
      </c>
    </row>
    <row r="35" spans="1:25" ht="189">
      <c r="A35" s="2825"/>
      <c r="B35" s="2825"/>
      <c r="C35" s="2825"/>
      <c r="D35" s="2825"/>
      <c r="E35" s="863" t="s">
        <v>485</v>
      </c>
      <c r="F35" s="326"/>
      <c r="G35" s="902"/>
      <c r="H35" s="326"/>
      <c r="I35" s="265" t="s">
        <v>4721</v>
      </c>
      <c r="J35" s="265" t="s">
        <v>121</v>
      </c>
      <c r="K35" s="417">
        <v>1</v>
      </c>
      <c r="L35" s="473">
        <v>0.2</v>
      </c>
      <c r="M35" s="417">
        <v>0</v>
      </c>
      <c r="N35" s="473">
        <v>0.05</v>
      </c>
      <c r="O35" s="2825"/>
      <c r="P35" s="445">
        <v>1000000000</v>
      </c>
      <c r="Q35" s="445">
        <v>219390000</v>
      </c>
      <c r="R35" s="445">
        <v>21876000</v>
      </c>
      <c r="S35" s="445">
        <v>7292000</v>
      </c>
      <c r="T35" s="473">
        <f t="shared" si="11"/>
        <v>9.9712840147682211E-2</v>
      </c>
      <c r="U35" s="473">
        <f t="shared" si="11"/>
        <v>0.33333333333333331</v>
      </c>
      <c r="V35" s="453">
        <v>45419</v>
      </c>
      <c r="W35" s="453">
        <v>45657</v>
      </c>
      <c r="X35" s="884" t="s">
        <v>4722</v>
      </c>
      <c r="Y35" s="2825"/>
    </row>
    <row r="36" spans="1:25">
      <c r="A36" s="240"/>
      <c r="B36" s="240">
        <v>54030010011</v>
      </c>
      <c r="C36" s="240" t="s">
        <v>103</v>
      </c>
      <c r="D36" s="235" t="s">
        <v>486</v>
      </c>
      <c r="E36" s="891"/>
      <c r="F36" s="401">
        <v>1</v>
      </c>
      <c r="G36" s="238"/>
      <c r="H36" s="240">
        <f>SUM(H38:H39)</f>
        <v>1</v>
      </c>
      <c r="I36" s="417"/>
      <c r="J36" s="238"/>
      <c r="K36" s="238"/>
      <c r="L36" s="241"/>
      <c r="M36" s="238"/>
      <c r="N36" s="241"/>
      <c r="O36" s="241"/>
      <c r="P36" s="450"/>
      <c r="Q36" s="450"/>
      <c r="R36" s="450"/>
      <c r="S36" s="450"/>
      <c r="T36" s="241"/>
      <c r="U36" s="241"/>
      <c r="V36" s="451"/>
      <c r="W36" s="451"/>
      <c r="X36" s="886"/>
      <c r="Y36" s="879"/>
    </row>
    <row r="37" spans="1:25" ht="16.5" customHeight="1">
      <c r="A37" s="2823">
        <v>4112</v>
      </c>
      <c r="B37" s="2823"/>
      <c r="C37" s="2823" t="s">
        <v>451</v>
      </c>
      <c r="D37" s="2828" t="s">
        <v>487</v>
      </c>
      <c r="E37" s="863" t="s">
        <v>488</v>
      </c>
      <c r="F37" s="326"/>
      <c r="G37" s="417"/>
      <c r="H37" s="881"/>
      <c r="I37" s="417"/>
      <c r="J37" s="417"/>
      <c r="K37" s="417"/>
      <c r="L37" s="473">
        <f>SUM(L38:L39)</f>
        <v>1</v>
      </c>
      <c r="M37" s="417"/>
      <c r="N37" s="473">
        <f>SUM(N38:N39)</f>
        <v>0.47899999999999998</v>
      </c>
      <c r="O37" s="2826">
        <f>IF(Q37&gt;0, N37,"na")</f>
        <v>0.47899999999999998</v>
      </c>
      <c r="P37" s="445">
        <f t="shared" ref="P37:S37" si="12">SUM(P38:P39)</f>
        <v>6000000000</v>
      </c>
      <c r="Q37" s="445">
        <f t="shared" si="12"/>
        <v>16815976000</v>
      </c>
      <c r="R37" s="445">
        <f t="shared" si="12"/>
        <v>11528845995</v>
      </c>
      <c r="S37" s="445">
        <f t="shared" si="12"/>
        <v>1256897000</v>
      </c>
      <c r="T37" s="473">
        <f t="shared" ref="T37:U39" si="13">IF(Q37=0,0,R37/Q37)</f>
        <v>0.68558887066679919</v>
      </c>
      <c r="U37" s="473">
        <f t="shared" si="13"/>
        <v>0.10902192643956816</v>
      </c>
      <c r="V37" s="453"/>
      <c r="W37" s="453"/>
      <c r="X37" s="886"/>
      <c r="Y37" s="883"/>
    </row>
    <row r="38" spans="1:25" ht="16.5" customHeight="1">
      <c r="A38" s="2824"/>
      <c r="B38" s="2824"/>
      <c r="C38" s="2824"/>
      <c r="D38" s="2824"/>
      <c r="E38" s="863" t="s">
        <v>489</v>
      </c>
      <c r="F38" s="326"/>
      <c r="G38" s="265"/>
      <c r="H38" s="326"/>
      <c r="I38" s="265" t="s">
        <v>490</v>
      </c>
      <c r="J38" s="265" t="s">
        <v>107</v>
      </c>
      <c r="K38" s="417">
        <v>1</v>
      </c>
      <c r="L38" s="473">
        <v>0.5</v>
      </c>
      <c r="M38" s="417">
        <v>0</v>
      </c>
      <c r="N38" s="473">
        <v>0.252</v>
      </c>
      <c r="O38" s="2824"/>
      <c r="P38" s="445">
        <v>1625224000</v>
      </c>
      <c r="Q38" s="896">
        <v>3710814010</v>
      </c>
      <c r="R38" s="896">
        <v>2381321000</v>
      </c>
      <c r="S38" s="445">
        <v>1211208000</v>
      </c>
      <c r="T38" s="473">
        <f t="shared" si="13"/>
        <v>0.64172469802656584</v>
      </c>
      <c r="U38" s="473">
        <f t="shared" si="13"/>
        <v>0.50862861411796223</v>
      </c>
      <c r="V38" s="453">
        <v>45316</v>
      </c>
      <c r="W38" s="453">
        <v>45657</v>
      </c>
      <c r="X38" s="884" t="s">
        <v>4723</v>
      </c>
      <c r="Y38" s="2841" t="s">
        <v>457</v>
      </c>
    </row>
    <row r="39" spans="1:25" ht="67.5">
      <c r="A39" s="2825"/>
      <c r="B39" s="2825"/>
      <c r="C39" s="2825"/>
      <c r="D39" s="2825"/>
      <c r="E39" s="863" t="s">
        <v>491</v>
      </c>
      <c r="F39" s="326"/>
      <c r="G39" s="265" t="s">
        <v>486</v>
      </c>
      <c r="H39" s="326">
        <v>1</v>
      </c>
      <c r="I39" s="265" t="s">
        <v>492</v>
      </c>
      <c r="J39" s="265" t="s">
        <v>125</v>
      </c>
      <c r="K39" s="417">
        <v>1</v>
      </c>
      <c r="L39" s="473">
        <v>0.5</v>
      </c>
      <c r="M39" s="417">
        <v>0</v>
      </c>
      <c r="N39" s="473">
        <v>0.22700000000000001</v>
      </c>
      <c r="O39" s="2825"/>
      <c r="P39" s="445">
        <v>4374776000</v>
      </c>
      <c r="Q39" s="896">
        <v>13105161990</v>
      </c>
      <c r="R39" s="896">
        <v>9147524995</v>
      </c>
      <c r="S39" s="445">
        <v>45689000</v>
      </c>
      <c r="T39" s="473">
        <f t="shared" si="13"/>
        <v>0.69800930366065628</v>
      </c>
      <c r="U39" s="473">
        <f t="shared" si="13"/>
        <v>4.9946843572412671E-3</v>
      </c>
      <c r="V39" s="453">
        <v>45323</v>
      </c>
      <c r="W39" s="453">
        <v>45657</v>
      </c>
      <c r="X39" s="884" t="s">
        <v>4724</v>
      </c>
      <c r="Y39" s="2842"/>
    </row>
    <row r="40" spans="1:25">
      <c r="A40" s="240"/>
      <c r="B40" s="252">
        <v>5403002</v>
      </c>
      <c r="C40" s="252" t="s">
        <v>102</v>
      </c>
      <c r="D40" s="239" t="s">
        <v>493</v>
      </c>
      <c r="E40" s="891"/>
      <c r="F40" s="240"/>
      <c r="G40" s="238"/>
      <c r="H40" s="238"/>
      <c r="I40" s="417"/>
      <c r="J40" s="238"/>
      <c r="K40" s="238"/>
      <c r="L40" s="241"/>
      <c r="M40" s="238"/>
      <c r="N40" s="241"/>
      <c r="O40" s="241"/>
      <c r="P40" s="450"/>
      <c r="Q40" s="450"/>
      <c r="R40" s="450"/>
      <c r="S40" s="450"/>
      <c r="T40" s="241"/>
      <c r="U40" s="241"/>
      <c r="V40" s="451"/>
      <c r="W40" s="451"/>
      <c r="X40" s="886"/>
      <c r="Y40" s="877"/>
    </row>
    <row r="41" spans="1:25" ht="25.5">
      <c r="A41" s="240"/>
      <c r="B41" s="240">
        <v>54030020004</v>
      </c>
      <c r="C41" s="240" t="s">
        <v>103</v>
      </c>
      <c r="D41" s="235" t="s">
        <v>494</v>
      </c>
      <c r="E41" s="891"/>
      <c r="F41" s="240">
        <v>0</v>
      </c>
      <c r="G41" s="238"/>
      <c r="H41" s="240">
        <f>SUM(H44)</f>
        <v>0</v>
      </c>
      <c r="I41" s="417"/>
      <c r="J41" s="238"/>
      <c r="K41" s="238"/>
      <c r="L41" s="241"/>
      <c r="M41" s="238"/>
      <c r="N41" s="241"/>
      <c r="O41" s="241"/>
      <c r="P41" s="450"/>
      <c r="Q41" s="450"/>
      <c r="R41" s="450"/>
      <c r="S41" s="450"/>
      <c r="T41" s="241"/>
      <c r="U41" s="241"/>
      <c r="V41" s="451"/>
      <c r="W41" s="451"/>
      <c r="X41" s="886"/>
      <c r="Y41" s="879"/>
    </row>
    <row r="42" spans="1:25" ht="16.5" customHeight="1">
      <c r="A42" s="2823">
        <v>4112</v>
      </c>
      <c r="B42" s="2823"/>
      <c r="C42" s="2823" t="s">
        <v>451</v>
      </c>
      <c r="D42" s="2828" t="s">
        <v>495</v>
      </c>
      <c r="E42" s="863" t="s">
        <v>496</v>
      </c>
      <c r="F42" s="326"/>
      <c r="G42" s="417"/>
      <c r="H42" s="881"/>
      <c r="I42" s="417"/>
      <c r="J42" s="417"/>
      <c r="K42" s="417"/>
      <c r="L42" s="473">
        <f>SUM(L43:L44)</f>
        <v>0</v>
      </c>
      <c r="M42" s="417"/>
      <c r="N42" s="473">
        <f>SUM(N43:N44)</f>
        <v>0</v>
      </c>
      <c r="O42" s="2826" t="str">
        <f>IF(Q42&gt;0, N42,"na")</f>
        <v>na</v>
      </c>
      <c r="P42" s="445">
        <f t="shared" ref="P42:S42" si="14">SUM(P43:P44)</f>
        <v>1400000000</v>
      </c>
      <c r="Q42" s="445">
        <f t="shared" si="14"/>
        <v>0</v>
      </c>
      <c r="R42" s="445">
        <f t="shared" si="14"/>
        <v>0</v>
      </c>
      <c r="S42" s="445">
        <f t="shared" si="14"/>
        <v>0</v>
      </c>
      <c r="T42" s="903">
        <f t="shared" ref="T42:U44" si="15">IF(Q42=0,0,R42/Q42)</f>
        <v>0</v>
      </c>
      <c r="U42" s="903">
        <f t="shared" si="15"/>
        <v>0</v>
      </c>
      <c r="V42" s="453"/>
      <c r="W42" s="453"/>
      <c r="X42" s="886"/>
      <c r="Y42" s="883"/>
    </row>
    <row r="43" spans="1:25" ht="36">
      <c r="A43" s="2824"/>
      <c r="B43" s="2824"/>
      <c r="C43" s="2824"/>
      <c r="D43" s="2824"/>
      <c r="E43" s="899" t="s">
        <v>497</v>
      </c>
      <c r="F43" s="899"/>
      <c r="G43" s="899"/>
      <c r="H43" s="904"/>
      <c r="I43" s="265" t="s">
        <v>434</v>
      </c>
      <c r="J43" s="905" t="s">
        <v>498</v>
      </c>
      <c r="K43" s="899">
        <v>0</v>
      </c>
      <c r="L43" s="903">
        <v>0</v>
      </c>
      <c r="M43" s="899">
        <v>0</v>
      </c>
      <c r="N43" s="903">
        <v>0</v>
      </c>
      <c r="O43" s="2824"/>
      <c r="P43" s="906">
        <v>206099000</v>
      </c>
      <c r="Q43" s="906">
        <v>0</v>
      </c>
      <c r="R43" s="906">
        <v>0</v>
      </c>
      <c r="S43" s="907">
        <v>0</v>
      </c>
      <c r="T43" s="473">
        <f t="shared" si="15"/>
        <v>0</v>
      </c>
      <c r="U43" s="473">
        <f t="shared" si="15"/>
        <v>0</v>
      </c>
      <c r="V43" s="908"/>
      <c r="W43" s="909"/>
      <c r="X43" s="900"/>
      <c r="Y43" s="2846" t="s">
        <v>457</v>
      </c>
    </row>
    <row r="44" spans="1:25" ht="108">
      <c r="A44" s="2847"/>
      <c r="B44" s="2847"/>
      <c r="C44" s="2847"/>
      <c r="D44" s="2847"/>
      <c r="E44" s="910" t="s">
        <v>499</v>
      </c>
      <c r="F44" s="864"/>
      <c r="G44" s="911" t="s">
        <v>500</v>
      </c>
      <c r="H44" s="864">
        <v>0</v>
      </c>
      <c r="I44" s="912" t="s">
        <v>501</v>
      </c>
      <c r="J44" s="911" t="s">
        <v>502</v>
      </c>
      <c r="K44" s="913">
        <v>0</v>
      </c>
      <c r="L44" s="914">
        <v>0</v>
      </c>
      <c r="M44" s="913">
        <v>0</v>
      </c>
      <c r="N44" s="914">
        <v>0</v>
      </c>
      <c r="O44" s="2847"/>
      <c r="P44" s="915">
        <v>1193901000</v>
      </c>
      <c r="Q44" s="915">
        <v>0</v>
      </c>
      <c r="R44" s="915">
        <v>0</v>
      </c>
      <c r="S44" s="915">
        <v>0</v>
      </c>
      <c r="T44" s="916">
        <f t="shared" si="15"/>
        <v>0</v>
      </c>
      <c r="U44" s="916">
        <f t="shared" si="15"/>
        <v>0</v>
      </c>
      <c r="V44" s="917"/>
      <c r="W44" s="917"/>
      <c r="X44" s="918"/>
      <c r="Y44" s="2847"/>
    </row>
    <row r="45" spans="1:25">
      <c r="A45" s="520"/>
      <c r="B45" s="521"/>
      <c r="C45" s="520"/>
      <c r="D45" s="521"/>
      <c r="E45" s="919"/>
      <c r="F45" s="521"/>
      <c r="G45" s="521"/>
      <c r="H45" s="521"/>
      <c r="I45" s="521"/>
      <c r="J45" s="520"/>
      <c r="K45" s="919"/>
      <c r="L45" s="919"/>
      <c r="M45" s="521"/>
      <c r="N45" s="521"/>
      <c r="O45" s="920"/>
      <c r="P45" s="921"/>
      <c r="Q45" s="921"/>
      <c r="R45" s="921"/>
      <c r="S45" s="921"/>
      <c r="T45" s="920"/>
      <c r="U45" s="920"/>
      <c r="V45" s="521"/>
      <c r="W45" s="521"/>
      <c r="X45" s="922"/>
      <c r="Y45" s="923"/>
    </row>
    <row r="46" spans="1:25" ht="26.25" customHeight="1">
      <c r="A46" s="924"/>
      <c r="B46" s="925" t="s">
        <v>36</v>
      </c>
      <c r="C46" s="924">
        <f>COUNTIF(C7:C44,"pr")</f>
        <v>8</v>
      </c>
      <c r="D46" s="925"/>
      <c r="E46" s="926" t="s">
        <v>112</v>
      </c>
      <c r="F46" s="925"/>
      <c r="G46" s="924">
        <f>COUNTIF(O11:O44,"na")</f>
        <v>1</v>
      </c>
      <c r="H46" s="925"/>
      <c r="I46" s="925"/>
      <c r="J46" s="924"/>
      <c r="K46" s="926"/>
      <c r="L46" s="926"/>
      <c r="M46" s="925"/>
      <c r="N46" s="927" t="s">
        <v>503</v>
      </c>
      <c r="O46" s="928">
        <f>AVERAGE(O11:O44)</f>
        <v>0.2284285714285714</v>
      </c>
      <c r="P46" s="929">
        <f t="shared" ref="P46:S46" si="16">+P11+P14+P19+P23+P27+P33+P37+P42</f>
        <v>10000000000</v>
      </c>
      <c r="Q46" s="929">
        <f t="shared" si="16"/>
        <v>20065976000</v>
      </c>
      <c r="R46" s="929">
        <f t="shared" si="16"/>
        <v>12477334995</v>
      </c>
      <c r="S46" s="929">
        <f t="shared" si="16"/>
        <v>1587987000</v>
      </c>
      <c r="T46" s="930">
        <f>IF(Q46=0,0,R46/Q46)</f>
        <v>0.62181550476288816</v>
      </c>
      <c r="U46" s="930">
        <f>IF(R46=0,0,S46/R46)</f>
        <v>0.12726972551721571</v>
      </c>
      <c r="V46" s="925"/>
      <c r="W46" s="925"/>
      <c r="X46" s="922"/>
      <c r="Y46" s="927"/>
    </row>
    <row r="47" spans="1:25">
      <c r="A47" s="520"/>
      <c r="B47" s="521"/>
      <c r="C47" s="520"/>
      <c r="D47" s="521"/>
      <c r="E47" s="919"/>
      <c r="F47" s="521"/>
      <c r="G47" s="521"/>
      <c r="H47" s="521"/>
      <c r="I47" s="521"/>
      <c r="J47" s="520"/>
      <c r="K47" s="919"/>
      <c r="L47" s="919"/>
      <c r="M47" s="919"/>
      <c r="N47" s="931" t="s">
        <v>119</v>
      </c>
      <c r="O47" s="932">
        <f>COUNTIF(O11:O44,"=0%")</f>
        <v>0</v>
      </c>
      <c r="P47" s="929">
        <v>10000000000</v>
      </c>
      <c r="Q47" s="929">
        <v>20065976000</v>
      </c>
      <c r="R47" s="929">
        <v>12477334995</v>
      </c>
      <c r="S47" s="929">
        <v>1587987000</v>
      </c>
      <c r="T47" s="521"/>
      <c r="U47" s="521"/>
      <c r="V47" s="521"/>
      <c r="W47" s="521"/>
      <c r="X47" s="922"/>
      <c r="Y47" s="923"/>
    </row>
  </sheetData>
  <mergeCells count="78">
    <mergeCell ref="Y43:Y44"/>
    <mergeCell ref="A42:A44"/>
    <mergeCell ref="B42:B44"/>
    <mergeCell ref="C42:C44"/>
    <mergeCell ref="D42:D44"/>
    <mergeCell ref="O42:O44"/>
    <mergeCell ref="Y28:Y29"/>
    <mergeCell ref="A37:A39"/>
    <mergeCell ref="B37:B39"/>
    <mergeCell ref="C37:C39"/>
    <mergeCell ref="D37:D39"/>
    <mergeCell ref="O37:O39"/>
    <mergeCell ref="Y38:Y39"/>
    <mergeCell ref="A27:A29"/>
    <mergeCell ref="B27:B29"/>
    <mergeCell ref="C27:C29"/>
    <mergeCell ref="D27:D29"/>
    <mergeCell ref="O27:O29"/>
    <mergeCell ref="Y34:Y35"/>
    <mergeCell ref="A33:A35"/>
    <mergeCell ref="B33:B35"/>
    <mergeCell ref="C33:C35"/>
    <mergeCell ref="Y20:Y21"/>
    <mergeCell ref="A23:A25"/>
    <mergeCell ref="B23:B25"/>
    <mergeCell ref="C23:C25"/>
    <mergeCell ref="D23:D25"/>
    <mergeCell ref="O23:O25"/>
    <mergeCell ref="Y24:Y25"/>
    <mergeCell ref="A19:A21"/>
    <mergeCell ref="B19:B21"/>
    <mergeCell ref="C19:C21"/>
    <mergeCell ref="D19:D21"/>
    <mergeCell ref="Y5:Y6"/>
    <mergeCell ref="S5:S6"/>
    <mergeCell ref="G5:G6"/>
    <mergeCell ref="F5:F6"/>
    <mergeCell ref="D5:D6"/>
    <mergeCell ref="A1:X1"/>
    <mergeCell ref="V5:V6"/>
    <mergeCell ref="W5:W6"/>
    <mergeCell ref="X5:X6"/>
    <mergeCell ref="R5:R6"/>
    <mergeCell ref="J5:J6"/>
    <mergeCell ref="L5:L6"/>
    <mergeCell ref="I5:I6"/>
    <mergeCell ref="N5:N6"/>
    <mergeCell ref="Q5:Q6"/>
    <mergeCell ref="H5:H6"/>
    <mergeCell ref="K5:K6"/>
    <mergeCell ref="A4:Y4"/>
    <mergeCell ref="A5:A6"/>
    <mergeCell ref="B5:B6"/>
    <mergeCell ref="E5:E6"/>
    <mergeCell ref="C5:C6"/>
    <mergeCell ref="O5:O6"/>
    <mergeCell ref="M5:M6"/>
    <mergeCell ref="T5:T6"/>
    <mergeCell ref="U5:U6"/>
    <mergeCell ref="P5:P6"/>
    <mergeCell ref="A2:Y2"/>
    <mergeCell ref="A3:B3"/>
    <mergeCell ref="C3:R3"/>
    <mergeCell ref="S3:U3"/>
    <mergeCell ref="V3:W3"/>
    <mergeCell ref="D33:D35"/>
    <mergeCell ref="O33:O35"/>
    <mergeCell ref="A11:A12"/>
    <mergeCell ref="B11:B12"/>
    <mergeCell ref="C11:C12"/>
    <mergeCell ref="D11:D12"/>
    <mergeCell ref="O11:O12"/>
    <mergeCell ref="A14:A15"/>
    <mergeCell ref="B14:B15"/>
    <mergeCell ref="C14:C15"/>
    <mergeCell ref="D14:D15"/>
    <mergeCell ref="O14:O15"/>
    <mergeCell ref="O19:O21"/>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&amp;R&amp;"Arial,Normal"&amp;8Página &amp;P de &amp;N</oddFooter>
  </headerFooter>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Y160"/>
  <sheetViews>
    <sheetView topLeftCell="B149" zoomScale="80" zoomScaleNormal="80" zoomScaleSheetLayoutView="100" workbookViewId="0">
      <selection activeCell="F154" sqref="F154"/>
    </sheetView>
  </sheetViews>
  <sheetFormatPr baseColWidth="10" defaultColWidth="11.42578125" defaultRowHeight="16.5"/>
  <cols>
    <col min="1" max="1" width="13" style="2" customWidth="1"/>
    <col min="2" max="2" width="14.28515625" style="3" bestFit="1" customWidth="1"/>
    <col min="3" max="3" width="8.5703125" style="2" customWidth="1"/>
    <col min="4" max="4" width="46.42578125" style="3" customWidth="1"/>
    <col min="5" max="5" width="15" style="3" customWidth="1"/>
    <col min="6" max="6" width="12.42578125" style="3" customWidth="1"/>
    <col min="7" max="7" width="17.85546875" style="3" customWidth="1"/>
    <col min="8" max="8" width="12.42578125" style="3" customWidth="1"/>
    <col min="9" max="9" width="17.7109375" style="3" customWidth="1"/>
    <col min="10" max="10" width="17.5703125" style="2" customWidth="1"/>
    <col min="11" max="12" width="13.140625" style="16" customWidth="1"/>
    <col min="13" max="13" width="12.7109375" style="16" customWidth="1"/>
    <col min="14" max="14" width="11.5703125" style="3" customWidth="1"/>
    <col min="15" max="15" width="12.7109375" style="2" customWidth="1"/>
    <col min="16" max="16" width="17.85546875" style="3" bestFit="1" customWidth="1"/>
    <col min="17" max="17" width="21" style="3" customWidth="1"/>
    <col min="18" max="18" width="16.42578125" style="3" customWidth="1"/>
    <col min="19" max="19" width="15.28515625" style="3" customWidth="1"/>
    <col min="20" max="20" width="12.7109375" style="3" customWidth="1"/>
    <col min="21" max="23" width="10.7109375" style="3" customWidth="1"/>
    <col min="24" max="24" width="29.85546875" style="3" customWidth="1"/>
    <col min="25" max="25" width="14.140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7" customFormat="1" ht="24.95" customHeight="1">
      <c r="A3" s="2954" t="s">
        <v>73</v>
      </c>
      <c r="B3" s="2954"/>
      <c r="C3" s="2954" t="s">
        <v>263</v>
      </c>
      <c r="D3" s="2954"/>
      <c r="E3" s="2954"/>
      <c r="F3" s="2954"/>
      <c r="G3" s="2954"/>
      <c r="H3" s="2954"/>
      <c r="I3" s="2954"/>
      <c r="J3" s="2954"/>
      <c r="K3" s="2954"/>
      <c r="L3" s="2954"/>
      <c r="M3" s="2954"/>
      <c r="N3" s="2954"/>
      <c r="O3" s="2954"/>
      <c r="P3" s="2954"/>
      <c r="Q3" s="2954"/>
      <c r="R3" s="2954"/>
      <c r="S3" s="2834" t="s">
        <v>17</v>
      </c>
      <c r="T3" s="2834"/>
      <c r="U3" s="2834"/>
      <c r="V3" s="2835">
        <v>45473</v>
      </c>
      <c r="W3" s="2834"/>
      <c r="X3" s="40" t="s">
        <v>5</v>
      </c>
      <c r="Y3" s="42">
        <v>2024</v>
      </c>
    </row>
    <row r="4" spans="1:25" s="27" customFormat="1" ht="25.5" customHeight="1">
      <c r="A4" s="3241"/>
      <c r="B4" s="3241"/>
      <c r="C4" s="3241"/>
      <c r="D4" s="3241"/>
      <c r="E4" s="3241"/>
      <c r="F4" s="3241"/>
      <c r="G4" s="3241"/>
      <c r="H4" s="3241"/>
      <c r="I4" s="3241"/>
      <c r="J4" s="3241"/>
      <c r="K4" s="3241"/>
      <c r="L4" s="3241"/>
      <c r="M4" s="3241"/>
      <c r="N4" s="3241"/>
      <c r="O4" s="3241"/>
      <c r="P4" s="3241"/>
      <c r="Q4" s="3241"/>
      <c r="R4" s="3241"/>
      <c r="S4" s="3241"/>
      <c r="T4" s="3241"/>
      <c r="U4" s="3241"/>
      <c r="V4" s="3241"/>
      <c r="W4" s="3241"/>
      <c r="X4" s="3241"/>
      <c r="Y4" s="3241"/>
    </row>
    <row r="5" spans="1:25" s="27" customFormat="1" ht="53.25" customHeight="1">
      <c r="A5" s="2940" t="s">
        <v>74</v>
      </c>
      <c r="B5" s="2940" t="s">
        <v>4</v>
      </c>
      <c r="C5" s="2940" t="s">
        <v>3</v>
      </c>
      <c r="D5" s="2940" t="s">
        <v>264</v>
      </c>
      <c r="E5" s="2940" t="s">
        <v>2</v>
      </c>
      <c r="F5" s="2940" t="s">
        <v>75</v>
      </c>
      <c r="G5" s="3239" t="s">
        <v>92</v>
      </c>
      <c r="H5" s="3239" t="s">
        <v>93</v>
      </c>
      <c r="I5" s="2940" t="s">
        <v>8</v>
      </c>
      <c r="J5" s="2940" t="s">
        <v>9</v>
      </c>
      <c r="K5" s="2940" t="s">
        <v>10</v>
      </c>
      <c r="L5" s="2940" t="s">
        <v>11</v>
      </c>
      <c r="M5" s="2955" t="s">
        <v>86</v>
      </c>
      <c r="N5" s="3243" t="s">
        <v>12</v>
      </c>
      <c r="O5" s="3243" t="s">
        <v>72</v>
      </c>
      <c r="P5" s="2940" t="s">
        <v>1</v>
      </c>
      <c r="Q5" s="2938" t="s">
        <v>13</v>
      </c>
      <c r="R5" s="2938" t="s">
        <v>14</v>
      </c>
      <c r="S5" s="2938" t="s">
        <v>16</v>
      </c>
      <c r="T5" s="2938" t="s">
        <v>15</v>
      </c>
      <c r="U5" s="2938" t="s">
        <v>89</v>
      </c>
      <c r="V5" s="2940" t="s">
        <v>6</v>
      </c>
      <c r="W5" s="2940" t="s">
        <v>7</v>
      </c>
      <c r="X5" s="2938" t="s">
        <v>0</v>
      </c>
      <c r="Y5" s="2955" t="s">
        <v>76</v>
      </c>
    </row>
    <row r="6" spans="1:25" s="27" customFormat="1" ht="42.75" customHeight="1">
      <c r="A6" s="3132"/>
      <c r="B6" s="3132"/>
      <c r="C6" s="3132"/>
      <c r="D6" s="3132"/>
      <c r="E6" s="3132"/>
      <c r="F6" s="3132"/>
      <c r="G6" s="3240"/>
      <c r="H6" s="3240"/>
      <c r="I6" s="3132"/>
      <c r="J6" s="3132"/>
      <c r="K6" s="3132"/>
      <c r="L6" s="3132"/>
      <c r="M6" s="3242"/>
      <c r="N6" s="3244"/>
      <c r="O6" s="3244"/>
      <c r="P6" s="3132"/>
      <c r="Q6" s="3131"/>
      <c r="R6" s="3131"/>
      <c r="S6" s="3131"/>
      <c r="T6" s="3131"/>
      <c r="U6" s="3131"/>
      <c r="V6" s="3132"/>
      <c r="W6" s="3132"/>
      <c r="X6" s="3131"/>
      <c r="Y6" s="3242"/>
    </row>
    <row r="7" spans="1:25">
      <c r="A7" s="1716"/>
      <c r="B7" s="1716">
        <v>51</v>
      </c>
      <c r="C7" s="1716" t="s">
        <v>100</v>
      </c>
      <c r="D7" s="1717" t="s">
        <v>1171</v>
      </c>
      <c r="E7" s="1718"/>
      <c r="F7" s="1719"/>
      <c r="G7" s="1719"/>
      <c r="H7" s="1716"/>
      <c r="I7" s="1719"/>
      <c r="J7" s="1719"/>
      <c r="K7" s="1716"/>
      <c r="L7" s="1720"/>
      <c r="M7" s="268"/>
      <c r="N7" s="1721"/>
      <c r="O7" s="269"/>
      <c r="P7" s="268"/>
      <c r="Q7" s="1722"/>
      <c r="R7" s="1722"/>
      <c r="S7" s="1722"/>
      <c r="T7" s="1723"/>
      <c r="U7" s="1723"/>
      <c r="V7" s="1724"/>
      <c r="W7" s="1724"/>
      <c r="X7" s="1724"/>
      <c r="Y7" s="1724"/>
    </row>
    <row r="8" spans="1:25">
      <c r="A8" s="85"/>
      <c r="B8" s="130">
        <v>5103</v>
      </c>
      <c r="C8" s="130" t="s">
        <v>101</v>
      </c>
      <c r="D8" s="85" t="s">
        <v>2469</v>
      </c>
      <c r="E8" s="83"/>
      <c r="F8" s="85"/>
      <c r="G8" s="85"/>
      <c r="H8" s="130"/>
      <c r="I8" s="85"/>
      <c r="J8" s="85"/>
      <c r="K8" s="130"/>
      <c r="L8" s="1725"/>
      <c r="M8" s="76"/>
      <c r="N8" s="1726"/>
      <c r="O8" s="101"/>
      <c r="P8" s="76"/>
      <c r="Q8" s="76"/>
      <c r="R8" s="76"/>
      <c r="S8" s="76"/>
      <c r="T8" s="1727"/>
      <c r="U8" s="1727"/>
      <c r="V8" s="71"/>
      <c r="W8" s="71"/>
      <c r="X8" s="71"/>
      <c r="Y8" s="71"/>
    </row>
    <row r="9" spans="1:25">
      <c r="A9" s="93"/>
      <c r="B9" s="129">
        <v>5103001</v>
      </c>
      <c r="C9" s="129" t="s">
        <v>102</v>
      </c>
      <c r="D9" s="93" t="s">
        <v>2470</v>
      </c>
      <c r="E9" s="87"/>
      <c r="F9" s="93"/>
      <c r="G9" s="93"/>
      <c r="H9" s="129"/>
      <c r="I9" s="93"/>
      <c r="J9" s="93"/>
      <c r="K9" s="129"/>
      <c r="L9" s="1728"/>
      <c r="M9" s="76"/>
      <c r="N9" s="1726"/>
      <c r="O9" s="141"/>
      <c r="P9" s="76"/>
      <c r="Q9" s="76"/>
      <c r="R9" s="76"/>
      <c r="S9" s="76"/>
      <c r="T9" s="1727"/>
      <c r="U9" s="1727"/>
      <c r="V9" s="71"/>
      <c r="W9" s="71"/>
      <c r="X9" s="71"/>
      <c r="Y9" s="71"/>
    </row>
    <row r="10" spans="1:25" ht="25.5">
      <c r="A10" s="71"/>
      <c r="B10" s="112">
        <v>51030010006</v>
      </c>
      <c r="C10" s="112" t="s">
        <v>103</v>
      </c>
      <c r="D10" s="71" t="s">
        <v>3526</v>
      </c>
      <c r="E10" s="101"/>
      <c r="F10" s="71"/>
      <c r="G10" s="71"/>
      <c r="H10" s="111">
        <f>H11+H13+H15+H17+H19+H21+H23+H25+H27+H29+H31</f>
        <v>6</v>
      </c>
      <c r="I10" s="71"/>
      <c r="J10" s="71"/>
      <c r="K10" s="111"/>
      <c r="L10" s="1726"/>
      <c r="M10" s="76"/>
      <c r="N10" s="1726"/>
      <c r="O10" s="141"/>
      <c r="P10" s="76"/>
      <c r="Q10" s="76"/>
      <c r="R10" s="76"/>
      <c r="S10" s="76"/>
      <c r="T10" s="1727"/>
      <c r="U10" s="1727"/>
      <c r="V10" s="71"/>
      <c r="W10" s="71"/>
      <c r="X10" s="71"/>
      <c r="Y10" s="71"/>
    </row>
    <row r="11" spans="1:25" ht="16.5" customHeight="1">
      <c r="A11" s="2853">
        <v>4162</v>
      </c>
      <c r="B11" s="605"/>
      <c r="C11" s="2995" t="s">
        <v>109</v>
      </c>
      <c r="D11" s="2921" t="s">
        <v>3527</v>
      </c>
      <c r="E11" s="110" t="s">
        <v>3528</v>
      </c>
      <c r="F11" s="92"/>
      <c r="G11" s="92"/>
      <c r="H11" s="128">
        <f>H12</f>
        <v>0</v>
      </c>
      <c r="I11" s="92"/>
      <c r="J11" s="92"/>
      <c r="K11" s="128"/>
      <c r="L11" s="1729">
        <f>SUM(L12)</f>
        <v>1</v>
      </c>
      <c r="M11" s="76">
        <f>M12</f>
        <v>0</v>
      </c>
      <c r="N11" s="1726">
        <f>N12</f>
        <v>0</v>
      </c>
      <c r="O11" s="3246">
        <f>IF(Q11&gt;0,N11,"na")</f>
        <v>0</v>
      </c>
      <c r="P11" s="97">
        <f>SUM(P12)</f>
        <v>149583863</v>
      </c>
      <c r="Q11" s="97">
        <f t="shared" ref="Q11:S11" si="0">SUM(Q12)</f>
        <v>149583863</v>
      </c>
      <c r="R11" s="97">
        <f t="shared" si="0"/>
        <v>0</v>
      </c>
      <c r="S11" s="97">
        <f t="shared" si="0"/>
        <v>0</v>
      </c>
      <c r="T11" s="1727">
        <f>+IF(Q11=0,0,R11/Q11)</f>
        <v>0</v>
      </c>
      <c r="U11" s="1727">
        <f>+IF(R11=0,0,S11/R11)</f>
        <v>0</v>
      </c>
      <c r="V11" s="71"/>
      <c r="W11" s="71"/>
      <c r="X11" s="71"/>
      <c r="Y11" s="128"/>
    </row>
    <row r="12" spans="1:25" ht="94.5" customHeight="1">
      <c r="A12" s="2970"/>
      <c r="B12" s="605"/>
      <c r="C12" s="3205"/>
      <c r="D12" s="3245"/>
      <c r="E12" s="110" t="s">
        <v>3529</v>
      </c>
      <c r="F12" s="92"/>
      <c r="G12" s="92" t="s">
        <v>3530</v>
      </c>
      <c r="H12" s="89">
        <f>M12</f>
        <v>0</v>
      </c>
      <c r="I12" s="92" t="s">
        <v>3531</v>
      </c>
      <c r="J12" s="92" t="s">
        <v>3530</v>
      </c>
      <c r="K12" s="128">
        <v>1</v>
      </c>
      <c r="L12" s="1729">
        <v>1</v>
      </c>
      <c r="M12" s="216">
        <v>0</v>
      </c>
      <c r="N12" s="1729">
        <f>(M12/K12)*L12</f>
        <v>0</v>
      </c>
      <c r="O12" s="3247"/>
      <c r="P12" s="97">
        <v>149583863</v>
      </c>
      <c r="Q12" s="216">
        <v>149583863</v>
      </c>
      <c r="R12" s="216">
        <v>0</v>
      </c>
      <c r="S12" s="216">
        <v>0</v>
      </c>
      <c r="T12" s="1730">
        <f>+IF(Q12=0,0,R12/Q12)</f>
        <v>0</v>
      </c>
      <c r="U12" s="1730">
        <f>+IF(R12=0,0,S12/R12)</f>
        <v>0</v>
      </c>
      <c r="V12" s="92"/>
      <c r="W12" s="92"/>
      <c r="X12" s="92"/>
      <c r="Y12" s="128" t="s">
        <v>3532</v>
      </c>
    </row>
    <row r="13" spans="1:25" ht="16.5" customHeight="1">
      <c r="A13" s="2853">
        <v>4162</v>
      </c>
      <c r="B13" s="605"/>
      <c r="C13" s="2995" t="s">
        <v>109</v>
      </c>
      <c r="D13" s="2921" t="s">
        <v>3533</v>
      </c>
      <c r="E13" s="110" t="s">
        <v>3534</v>
      </c>
      <c r="F13" s="92"/>
      <c r="G13" s="92"/>
      <c r="H13" s="128">
        <f>H14</f>
        <v>6</v>
      </c>
      <c r="I13" s="92"/>
      <c r="J13" s="92"/>
      <c r="K13" s="128"/>
      <c r="L13" s="1729">
        <f>SUM(L14)</f>
        <v>1</v>
      </c>
      <c r="M13" s="76">
        <f>M14</f>
        <v>6</v>
      </c>
      <c r="N13" s="1726">
        <f>N14</f>
        <v>0.3</v>
      </c>
      <c r="O13" s="3246">
        <f>IF(Q13&gt;0,N13,"na")</f>
        <v>0.3</v>
      </c>
      <c r="P13" s="97">
        <f>SUM(P14)</f>
        <v>4598240000</v>
      </c>
      <c r="Q13" s="97">
        <f t="shared" ref="Q13:S13" si="1">SUM(Q14)</f>
        <v>10584149812</v>
      </c>
      <c r="R13" s="97">
        <f t="shared" si="1"/>
        <v>8335807780</v>
      </c>
      <c r="S13" s="97">
        <f t="shared" si="1"/>
        <v>322658000</v>
      </c>
      <c r="T13" s="1727">
        <f t="shared" ref="T13:U28" si="2">+IF(Q13=0,0,R13/Q13)</f>
        <v>0.78757462130298883</v>
      </c>
      <c r="U13" s="1727">
        <f t="shared" si="2"/>
        <v>3.8707466452639339E-2</v>
      </c>
      <c r="V13" s="71"/>
      <c r="W13" s="71"/>
      <c r="X13" s="71"/>
      <c r="Y13" s="128"/>
    </row>
    <row r="14" spans="1:25" ht="67.5" customHeight="1">
      <c r="A14" s="2970"/>
      <c r="B14" s="605"/>
      <c r="C14" s="3205"/>
      <c r="D14" s="3245"/>
      <c r="E14" s="110" t="s">
        <v>3535</v>
      </c>
      <c r="F14" s="92"/>
      <c r="G14" s="92" t="s">
        <v>3530</v>
      </c>
      <c r="H14" s="89">
        <f>M14</f>
        <v>6</v>
      </c>
      <c r="I14" s="92" t="s">
        <v>5480</v>
      </c>
      <c r="J14" s="92" t="s">
        <v>3530</v>
      </c>
      <c r="K14" s="128">
        <v>20</v>
      </c>
      <c r="L14" s="1729">
        <v>1</v>
      </c>
      <c r="M14" s="216">
        <v>6</v>
      </c>
      <c r="N14" s="1729">
        <f>(M14/K14)*L14</f>
        <v>0.3</v>
      </c>
      <c r="O14" s="3247"/>
      <c r="P14" s="97">
        <v>4598240000</v>
      </c>
      <c r="Q14" s="216">
        <v>10584149812</v>
      </c>
      <c r="R14" s="216">
        <v>8335807780</v>
      </c>
      <c r="S14" s="216">
        <v>322658000</v>
      </c>
      <c r="T14" s="1730">
        <f t="shared" si="2"/>
        <v>0.78757462130298883</v>
      </c>
      <c r="U14" s="1730">
        <f>+IF(R14=0,0,S14/R14)</f>
        <v>3.8707466452639339E-2</v>
      </c>
      <c r="V14" s="1731">
        <v>45344</v>
      </c>
      <c r="W14" s="1731">
        <v>45657</v>
      </c>
      <c r="X14" s="92" t="s">
        <v>5481</v>
      </c>
      <c r="Y14" s="128" t="s">
        <v>3532</v>
      </c>
    </row>
    <row r="15" spans="1:25">
      <c r="A15" s="2853">
        <v>4162</v>
      </c>
      <c r="B15" s="605"/>
      <c r="C15" s="2995" t="s">
        <v>109</v>
      </c>
      <c r="D15" s="2921" t="s">
        <v>3536</v>
      </c>
      <c r="E15" s="110" t="s">
        <v>3537</v>
      </c>
      <c r="F15" s="92"/>
      <c r="G15" s="92"/>
      <c r="H15" s="128">
        <f>H16</f>
        <v>0</v>
      </c>
      <c r="I15" s="92"/>
      <c r="J15" s="92"/>
      <c r="K15" s="128"/>
      <c r="L15" s="1729">
        <f>SUM(L16)</f>
        <v>1</v>
      </c>
      <c r="M15" s="76">
        <f>M16</f>
        <v>0</v>
      </c>
      <c r="N15" s="1726">
        <f>N16</f>
        <v>0</v>
      </c>
      <c r="O15" s="3246">
        <f>IF(Q15&gt;0,N15,"na")</f>
        <v>0</v>
      </c>
      <c r="P15" s="97">
        <f>SUM(P16)</f>
        <v>216153519</v>
      </c>
      <c r="Q15" s="97">
        <f t="shared" ref="Q15:S15" si="3">SUM(Q16)</f>
        <v>216153519</v>
      </c>
      <c r="R15" s="97">
        <f t="shared" si="3"/>
        <v>205860494</v>
      </c>
      <c r="S15" s="97">
        <f t="shared" si="3"/>
        <v>0</v>
      </c>
      <c r="T15" s="1727">
        <f t="shared" si="2"/>
        <v>0.95238095105914056</v>
      </c>
      <c r="U15" s="1727">
        <f t="shared" si="2"/>
        <v>0</v>
      </c>
      <c r="V15" s="71"/>
      <c r="W15" s="71"/>
      <c r="X15" s="71"/>
      <c r="Y15" s="128"/>
    </row>
    <row r="16" spans="1:25" ht="94.5" customHeight="1">
      <c r="A16" s="2970"/>
      <c r="B16" s="605"/>
      <c r="C16" s="3205"/>
      <c r="D16" s="3245"/>
      <c r="E16" s="110" t="s">
        <v>3538</v>
      </c>
      <c r="F16" s="92"/>
      <c r="G16" s="92" t="s">
        <v>3530</v>
      </c>
      <c r="H16" s="89">
        <f>M16</f>
        <v>0</v>
      </c>
      <c r="I16" s="92" t="s">
        <v>3531</v>
      </c>
      <c r="J16" s="92" t="s">
        <v>3530</v>
      </c>
      <c r="K16" s="128">
        <v>1</v>
      </c>
      <c r="L16" s="1729">
        <v>1</v>
      </c>
      <c r="M16" s="216">
        <v>0</v>
      </c>
      <c r="N16" s="1729">
        <f>(M16/K16)*L16</f>
        <v>0</v>
      </c>
      <c r="O16" s="3247"/>
      <c r="P16" s="97">
        <v>216153519</v>
      </c>
      <c r="Q16" s="216">
        <v>216153519</v>
      </c>
      <c r="R16" s="216">
        <v>205860494</v>
      </c>
      <c r="S16" s="216">
        <v>0</v>
      </c>
      <c r="T16" s="1730">
        <f t="shared" si="2"/>
        <v>0.95238095105914056</v>
      </c>
      <c r="U16" s="1730">
        <f t="shared" si="2"/>
        <v>0</v>
      </c>
      <c r="V16" s="1731">
        <v>45469</v>
      </c>
      <c r="W16" s="1731">
        <v>45657</v>
      </c>
      <c r="X16" s="92" t="s">
        <v>5482</v>
      </c>
      <c r="Y16" s="128" t="s">
        <v>3532</v>
      </c>
    </row>
    <row r="17" spans="1:25">
      <c r="A17" s="2853">
        <v>4162</v>
      </c>
      <c r="B17" s="605"/>
      <c r="C17" s="2995" t="s">
        <v>109</v>
      </c>
      <c r="D17" s="2921" t="s">
        <v>3539</v>
      </c>
      <c r="E17" s="110" t="s">
        <v>3540</v>
      </c>
      <c r="F17" s="92"/>
      <c r="G17" s="92"/>
      <c r="H17" s="128">
        <f>H18</f>
        <v>0</v>
      </c>
      <c r="I17" s="92"/>
      <c r="J17" s="92"/>
      <c r="K17" s="128"/>
      <c r="L17" s="1729">
        <f>SUM(L18)</f>
        <v>1</v>
      </c>
      <c r="M17" s="76">
        <f>M18</f>
        <v>0</v>
      </c>
      <c r="N17" s="1726">
        <f>N18</f>
        <v>0</v>
      </c>
      <c r="O17" s="3246">
        <f>IF(Q17&gt;0,N17,"na")</f>
        <v>0</v>
      </c>
      <c r="P17" s="97">
        <f>SUM(P18)</f>
        <v>243773201</v>
      </c>
      <c r="Q17" s="97">
        <f t="shared" ref="Q17:S17" si="4">SUM(Q18)</f>
        <v>243773201</v>
      </c>
      <c r="R17" s="97">
        <f t="shared" si="4"/>
        <v>232164953</v>
      </c>
      <c r="S17" s="97">
        <f t="shared" si="4"/>
        <v>0</v>
      </c>
      <c r="T17" s="1727">
        <f t="shared" si="2"/>
        <v>0.95238095101356113</v>
      </c>
      <c r="U17" s="1727">
        <f t="shared" si="2"/>
        <v>0</v>
      </c>
      <c r="V17" s="71"/>
      <c r="W17" s="71"/>
      <c r="X17" s="71"/>
      <c r="Y17" s="128"/>
    </row>
    <row r="18" spans="1:25" ht="94.5" customHeight="1">
      <c r="A18" s="2970"/>
      <c r="B18" s="605"/>
      <c r="C18" s="3205"/>
      <c r="D18" s="3245"/>
      <c r="E18" s="110" t="s">
        <v>3541</v>
      </c>
      <c r="F18" s="92"/>
      <c r="G18" s="92" t="s">
        <v>3530</v>
      </c>
      <c r="H18" s="89">
        <f>M18</f>
        <v>0</v>
      </c>
      <c r="I18" s="92" t="s">
        <v>3531</v>
      </c>
      <c r="J18" s="92" t="s">
        <v>3530</v>
      </c>
      <c r="K18" s="128">
        <v>1</v>
      </c>
      <c r="L18" s="1729">
        <v>1</v>
      </c>
      <c r="M18" s="216">
        <v>0</v>
      </c>
      <c r="N18" s="1729">
        <f>(M18/K18)*L18</f>
        <v>0</v>
      </c>
      <c r="O18" s="3247"/>
      <c r="P18" s="97">
        <v>243773201</v>
      </c>
      <c r="Q18" s="216">
        <v>243773201</v>
      </c>
      <c r="R18" s="216">
        <v>232164953</v>
      </c>
      <c r="S18" s="216">
        <v>0</v>
      </c>
      <c r="T18" s="1730">
        <f t="shared" si="2"/>
        <v>0.95238095101356113</v>
      </c>
      <c r="U18" s="1730">
        <f t="shared" si="2"/>
        <v>0</v>
      </c>
      <c r="V18" s="1731">
        <v>45469</v>
      </c>
      <c r="W18" s="1731">
        <v>45657</v>
      </c>
      <c r="X18" s="92" t="s">
        <v>5482</v>
      </c>
      <c r="Y18" s="128" t="s">
        <v>3532</v>
      </c>
    </row>
    <row r="19" spans="1:25" ht="16.5" customHeight="1">
      <c r="A19" s="2853">
        <v>4162</v>
      </c>
      <c r="B19" s="605"/>
      <c r="C19" s="2995" t="s">
        <v>109</v>
      </c>
      <c r="D19" s="2921" t="s">
        <v>3542</v>
      </c>
      <c r="E19" s="110" t="s">
        <v>3543</v>
      </c>
      <c r="F19" s="92"/>
      <c r="G19" s="92"/>
      <c r="H19" s="128">
        <f>H20</f>
        <v>0</v>
      </c>
      <c r="I19" s="92"/>
      <c r="J19" s="92"/>
      <c r="K19" s="128"/>
      <c r="L19" s="1729">
        <f>SUM(L20)</f>
        <v>1</v>
      </c>
      <c r="M19" s="76">
        <f>M20</f>
        <v>0</v>
      </c>
      <c r="N19" s="1726">
        <f>N20</f>
        <v>0</v>
      </c>
      <c r="O19" s="3246">
        <f>IF(Q19&gt;0,N19,"na")</f>
        <v>0</v>
      </c>
      <c r="P19" s="97">
        <f>SUM(P20)</f>
        <v>120536071</v>
      </c>
      <c r="Q19" s="97">
        <f t="shared" ref="Q19:S19" si="5">SUM(Q20)</f>
        <v>120536071</v>
      </c>
      <c r="R19" s="97">
        <f t="shared" si="5"/>
        <v>114796258</v>
      </c>
      <c r="S19" s="97">
        <f t="shared" si="5"/>
        <v>0</v>
      </c>
      <c r="T19" s="1727">
        <f t="shared" si="2"/>
        <v>0.95238095159083125</v>
      </c>
      <c r="U19" s="1727">
        <f t="shared" si="2"/>
        <v>0</v>
      </c>
      <c r="V19" s="71"/>
      <c r="W19" s="71"/>
      <c r="X19" s="71"/>
      <c r="Y19" s="128"/>
    </row>
    <row r="20" spans="1:25" ht="94.5" customHeight="1">
      <c r="A20" s="2970"/>
      <c r="B20" s="605"/>
      <c r="C20" s="3205"/>
      <c r="D20" s="3245"/>
      <c r="E20" s="110" t="s">
        <v>3544</v>
      </c>
      <c r="F20" s="92"/>
      <c r="G20" s="92" t="s">
        <v>3530</v>
      </c>
      <c r="H20" s="89">
        <f>M20</f>
        <v>0</v>
      </c>
      <c r="I20" s="92" t="s">
        <v>3531</v>
      </c>
      <c r="J20" s="92" t="s">
        <v>3530</v>
      </c>
      <c r="K20" s="128">
        <v>1</v>
      </c>
      <c r="L20" s="1729">
        <v>1</v>
      </c>
      <c r="M20" s="216">
        <v>0</v>
      </c>
      <c r="N20" s="1729">
        <f>(M20/K20)*L20</f>
        <v>0</v>
      </c>
      <c r="O20" s="3247"/>
      <c r="P20" s="97">
        <v>120536071</v>
      </c>
      <c r="Q20" s="216">
        <v>120536071</v>
      </c>
      <c r="R20" s="216">
        <v>114796258</v>
      </c>
      <c r="S20" s="216">
        <v>0</v>
      </c>
      <c r="T20" s="1730">
        <f t="shared" si="2"/>
        <v>0.95238095159083125</v>
      </c>
      <c r="U20" s="1730">
        <f t="shared" si="2"/>
        <v>0</v>
      </c>
      <c r="V20" s="1731">
        <v>45469</v>
      </c>
      <c r="W20" s="1731">
        <v>45657</v>
      </c>
      <c r="X20" s="92" t="s">
        <v>5482</v>
      </c>
      <c r="Y20" s="128" t="s">
        <v>3532</v>
      </c>
    </row>
    <row r="21" spans="1:25">
      <c r="A21" s="2853">
        <v>4162</v>
      </c>
      <c r="B21" s="605"/>
      <c r="C21" s="2995" t="s">
        <v>109</v>
      </c>
      <c r="D21" s="2921" t="s">
        <v>3545</v>
      </c>
      <c r="E21" s="110" t="s">
        <v>3546</v>
      </c>
      <c r="F21" s="92"/>
      <c r="G21" s="92"/>
      <c r="H21" s="128">
        <f>H22</f>
        <v>0</v>
      </c>
      <c r="I21" s="92"/>
      <c r="J21" s="92"/>
      <c r="K21" s="128"/>
      <c r="L21" s="1729">
        <f>SUM(L22)</f>
        <v>1</v>
      </c>
      <c r="M21" s="76">
        <f>M22</f>
        <v>0</v>
      </c>
      <c r="N21" s="1726">
        <f>N22</f>
        <v>0</v>
      </c>
      <c r="O21" s="3246">
        <f>IF(Q21&gt;0,N21,"na")</f>
        <v>0</v>
      </c>
      <c r="P21" s="97">
        <f>SUM(P22)</f>
        <v>125150537</v>
      </c>
      <c r="Q21" s="97">
        <f t="shared" ref="Q21:S21" si="6">SUM(Q22)</f>
        <v>125150537</v>
      </c>
      <c r="R21" s="97">
        <f t="shared" si="6"/>
        <v>119190988</v>
      </c>
      <c r="S21" s="97">
        <f t="shared" si="6"/>
        <v>0</v>
      </c>
      <c r="T21" s="1727">
        <f t="shared" si="2"/>
        <v>0.95238095542490564</v>
      </c>
      <c r="U21" s="1727">
        <f t="shared" si="2"/>
        <v>0</v>
      </c>
      <c r="V21" s="71"/>
      <c r="W21" s="71"/>
      <c r="X21" s="71"/>
      <c r="Y21" s="128"/>
    </row>
    <row r="22" spans="1:25" ht="94.5" customHeight="1">
      <c r="A22" s="2970"/>
      <c r="B22" s="605"/>
      <c r="C22" s="3205"/>
      <c r="D22" s="3245"/>
      <c r="E22" s="110" t="s">
        <v>3547</v>
      </c>
      <c r="F22" s="92"/>
      <c r="G22" s="92" t="s">
        <v>3530</v>
      </c>
      <c r="H22" s="89">
        <f>M22</f>
        <v>0</v>
      </c>
      <c r="I22" s="92" t="s">
        <v>3531</v>
      </c>
      <c r="J22" s="92" t="s">
        <v>3530</v>
      </c>
      <c r="K22" s="128">
        <v>1</v>
      </c>
      <c r="L22" s="1729">
        <v>1</v>
      </c>
      <c r="M22" s="216">
        <v>0</v>
      </c>
      <c r="N22" s="1729">
        <f>(M22/K22)*L22</f>
        <v>0</v>
      </c>
      <c r="O22" s="3247"/>
      <c r="P22" s="97">
        <v>125150537</v>
      </c>
      <c r="Q22" s="216">
        <v>125150537</v>
      </c>
      <c r="R22" s="216">
        <v>119190988</v>
      </c>
      <c r="S22" s="216">
        <v>0</v>
      </c>
      <c r="T22" s="1730">
        <f t="shared" si="2"/>
        <v>0.95238095542490564</v>
      </c>
      <c r="U22" s="1730">
        <f t="shared" si="2"/>
        <v>0</v>
      </c>
      <c r="V22" s="1731">
        <v>45469</v>
      </c>
      <c r="W22" s="1731">
        <v>45657</v>
      </c>
      <c r="X22" s="92" t="s">
        <v>5482</v>
      </c>
      <c r="Y22" s="128" t="s">
        <v>3532</v>
      </c>
    </row>
    <row r="23" spans="1:25">
      <c r="A23" s="2853">
        <v>4162</v>
      </c>
      <c r="B23" s="605"/>
      <c r="C23" s="2995" t="s">
        <v>109</v>
      </c>
      <c r="D23" s="2921" t="s">
        <v>3548</v>
      </c>
      <c r="E23" s="110" t="s">
        <v>3549</v>
      </c>
      <c r="F23" s="92"/>
      <c r="G23" s="92"/>
      <c r="H23" s="128">
        <f>H24</f>
        <v>0</v>
      </c>
      <c r="I23" s="92"/>
      <c r="J23" s="92"/>
      <c r="K23" s="128"/>
      <c r="L23" s="1729">
        <f>SUM(L24)</f>
        <v>1</v>
      </c>
      <c r="M23" s="76">
        <f>M24</f>
        <v>0</v>
      </c>
      <c r="N23" s="1726">
        <f>N24</f>
        <v>0</v>
      </c>
      <c r="O23" s="3246">
        <f>IF(Q23&gt;0,N23,"na")</f>
        <v>0</v>
      </c>
      <c r="P23" s="97">
        <f>SUM(P24)</f>
        <v>234830996</v>
      </c>
      <c r="Q23" s="97">
        <f t="shared" ref="Q23:S23" si="7">SUM(Q24)</f>
        <v>234830996</v>
      </c>
      <c r="R23" s="97">
        <f t="shared" si="7"/>
        <v>223648568</v>
      </c>
      <c r="S23" s="97">
        <f t="shared" si="7"/>
        <v>0</v>
      </c>
      <c r="T23" s="1727">
        <f t="shared" si="2"/>
        <v>0.952380954003193</v>
      </c>
      <c r="U23" s="1727">
        <f t="shared" si="2"/>
        <v>0</v>
      </c>
      <c r="V23" s="71"/>
      <c r="W23" s="71"/>
      <c r="X23" s="71"/>
      <c r="Y23" s="128"/>
    </row>
    <row r="24" spans="1:25" ht="94.5" customHeight="1">
      <c r="A24" s="2970"/>
      <c r="B24" s="605"/>
      <c r="C24" s="3205"/>
      <c r="D24" s="3245"/>
      <c r="E24" s="110" t="s">
        <v>3550</v>
      </c>
      <c r="F24" s="92"/>
      <c r="G24" s="92" t="s">
        <v>3530</v>
      </c>
      <c r="H24" s="89">
        <f>M24</f>
        <v>0</v>
      </c>
      <c r="I24" s="92" t="s">
        <v>3531</v>
      </c>
      <c r="J24" s="92" t="s">
        <v>3530</v>
      </c>
      <c r="K24" s="128">
        <v>1</v>
      </c>
      <c r="L24" s="1729">
        <v>1</v>
      </c>
      <c r="M24" s="216">
        <v>0</v>
      </c>
      <c r="N24" s="1729">
        <f>(M24/K24)*L24</f>
        <v>0</v>
      </c>
      <c r="O24" s="3247"/>
      <c r="P24" s="97">
        <v>234830996</v>
      </c>
      <c r="Q24" s="216">
        <v>234830996</v>
      </c>
      <c r="R24" s="216">
        <v>223648568</v>
      </c>
      <c r="S24" s="216">
        <v>0</v>
      </c>
      <c r="T24" s="1730">
        <f t="shared" si="2"/>
        <v>0.952380954003193</v>
      </c>
      <c r="U24" s="1730">
        <f t="shared" si="2"/>
        <v>0</v>
      </c>
      <c r="V24" s="1731">
        <v>45469</v>
      </c>
      <c r="W24" s="1731">
        <v>45657</v>
      </c>
      <c r="X24" s="92" t="s">
        <v>5482</v>
      </c>
      <c r="Y24" s="128" t="s">
        <v>3532</v>
      </c>
    </row>
    <row r="25" spans="1:25">
      <c r="A25" s="2853">
        <v>4162</v>
      </c>
      <c r="B25" s="605"/>
      <c r="C25" s="2995" t="s">
        <v>109</v>
      </c>
      <c r="D25" s="2921" t="s">
        <v>3551</v>
      </c>
      <c r="E25" s="110" t="s">
        <v>3552</v>
      </c>
      <c r="F25" s="92"/>
      <c r="G25" s="92"/>
      <c r="H25" s="128">
        <f>H26</f>
        <v>0</v>
      </c>
      <c r="I25" s="92"/>
      <c r="J25" s="92"/>
      <c r="K25" s="128"/>
      <c r="L25" s="1729">
        <f>SUM(L26)</f>
        <v>1</v>
      </c>
      <c r="M25" s="76">
        <f>M26</f>
        <v>0</v>
      </c>
      <c r="N25" s="1726">
        <f>N26</f>
        <v>0</v>
      </c>
      <c r="O25" s="3246">
        <f>IF(Q25&gt;0,N25,"na")</f>
        <v>0</v>
      </c>
      <c r="P25" s="97">
        <f>SUM(P26)</f>
        <v>189890673</v>
      </c>
      <c r="Q25" s="97">
        <f t="shared" ref="Q25:S25" si="8">SUM(Q26)</f>
        <v>189890673</v>
      </c>
      <c r="R25" s="97">
        <f t="shared" si="8"/>
        <v>180848260</v>
      </c>
      <c r="S25" s="97">
        <f t="shared" si="8"/>
        <v>0</v>
      </c>
      <c r="T25" s="1727">
        <f t="shared" si="2"/>
        <v>0.95238095238095233</v>
      </c>
      <c r="U25" s="1727">
        <f t="shared" si="2"/>
        <v>0</v>
      </c>
      <c r="V25" s="71"/>
      <c r="W25" s="71"/>
      <c r="X25" s="71"/>
      <c r="Y25" s="128"/>
    </row>
    <row r="26" spans="1:25" ht="94.5" customHeight="1">
      <c r="A26" s="2970"/>
      <c r="B26" s="605"/>
      <c r="C26" s="3205"/>
      <c r="D26" s="3245"/>
      <c r="E26" s="110" t="s">
        <v>3553</v>
      </c>
      <c r="F26" s="92"/>
      <c r="G26" s="92" t="s">
        <v>3530</v>
      </c>
      <c r="H26" s="89">
        <f>M26</f>
        <v>0</v>
      </c>
      <c r="I26" s="92" t="s">
        <v>3531</v>
      </c>
      <c r="J26" s="92" t="s">
        <v>3530</v>
      </c>
      <c r="K26" s="128">
        <v>1</v>
      </c>
      <c r="L26" s="1729">
        <v>1</v>
      </c>
      <c r="M26" s="216">
        <v>0</v>
      </c>
      <c r="N26" s="1729">
        <f>(M26/K26)*L26</f>
        <v>0</v>
      </c>
      <c r="O26" s="3247"/>
      <c r="P26" s="97">
        <v>189890673</v>
      </c>
      <c r="Q26" s="216">
        <v>189890673</v>
      </c>
      <c r="R26" s="216">
        <v>180848260</v>
      </c>
      <c r="S26" s="216">
        <v>0</v>
      </c>
      <c r="T26" s="1730">
        <f t="shared" si="2"/>
        <v>0.95238095238095233</v>
      </c>
      <c r="U26" s="1730">
        <f t="shared" si="2"/>
        <v>0</v>
      </c>
      <c r="V26" s="1731">
        <v>45469</v>
      </c>
      <c r="W26" s="1731">
        <v>45657</v>
      </c>
      <c r="X26" s="92" t="s">
        <v>5482</v>
      </c>
      <c r="Y26" s="128" t="s">
        <v>3532</v>
      </c>
    </row>
    <row r="27" spans="1:25">
      <c r="A27" s="2853">
        <v>4162</v>
      </c>
      <c r="B27" s="605"/>
      <c r="C27" s="2995" t="s">
        <v>109</v>
      </c>
      <c r="D27" s="2921" t="s">
        <v>3554</v>
      </c>
      <c r="E27" s="110" t="s">
        <v>3555</v>
      </c>
      <c r="F27" s="92"/>
      <c r="G27" s="92"/>
      <c r="H27" s="128">
        <f>H28</f>
        <v>0</v>
      </c>
      <c r="I27" s="92"/>
      <c r="J27" s="92"/>
      <c r="K27" s="128"/>
      <c r="L27" s="1729">
        <f>SUM(L28)</f>
        <v>1</v>
      </c>
      <c r="M27" s="76">
        <f>M28</f>
        <v>0</v>
      </c>
      <c r="N27" s="1726">
        <f>N28</f>
        <v>0</v>
      </c>
      <c r="O27" s="3246">
        <f>IF(Q27&gt;0,N27,"na")</f>
        <v>0</v>
      </c>
      <c r="P27" s="97">
        <f>SUM(P28)</f>
        <v>162906326</v>
      </c>
      <c r="Q27" s="97">
        <f t="shared" ref="Q27:S27" si="9">SUM(Q28)</f>
        <v>162906326</v>
      </c>
      <c r="R27" s="97">
        <f t="shared" si="9"/>
        <v>155148882</v>
      </c>
      <c r="S27" s="97">
        <f t="shared" si="9"/>
        <v>0</v>
      </c>
      <c r="T27" s="1727">
        <f t="shared" si="2"/>
        <v>0.95238095296557113</v>
      </c>
      <c r="U27" s="1727">
        <f t="shared" si="2"/>
        <v>0</v>
      </c>
      <c r="V27" s="71"/>
      <c r="W27" s="71"/>
      <c r="X27" s="71"/>
      <c r="Y27" s="128"/>
    </row>
    <row r="28" spans="1:25" ht="94.5" customHeight="1">
      <c r="A28" s="2970"/>
      <c r="B28" s="605"/>
      <c r="C28" s="3205"/>
      <c r="D28" s="3245"/>
      <c r="E28" s="110" t="s">
        <v>3556</v>
      </c>
      <c r="F28" s="92"/>
      <c r="G28" s="92" t="s">
        <v>3530</v>
      </c>
      <c r="H28" s="89">
        <f>M28</f>
        <v>0</v>
      </c>
      <c r="I28" s="92" t="s">
        <v>3531</v>
      </c>
      <c r="J28" s="92" t="s">
        <v>3530</v>
      </c>
      <c r="K28" s="128">
        <v>1</v>
      </c>
      <c r="L28" s="1729">
        <v>1</v>
      </c>
      <c r="M28" s="216">
        <v>0</v>
      </c>
      <c r="N28" s="1729">
        <f>(M28/K28)*L28</f>
        <v>0</v>
      </c>
      <c r="O28" s="3247"/>
      <c r="P28" s="97">
        <v>162906326</v>
      </c>
      <c r="Q28" s="216">
        <v>162906326</v>
      </c>
      <c r="R28" s="216">
        <v>155148882</v>
      </c>
      <c r="S28" s="216">
        <v>0</v>
      </c>
      <c r="T28" s="1730">
        <f t="shared" si="2"/>
        <v>0.95238095296557113</v>
      </c>
      <c r="U28" s="1730">
        <f t="shared" si="2"/>
        <v>0</v>
      </c>
      <c r="V28" s="1731">
        <v>45469</v>
      </c>
      <c r="W28" s="1731">
        <v>45657</v>
      </c>
      <c r="X28" s="92" t="s">
        <v>5482</v>
      </c>
      <c r="Y28" s="128" t="s">
        <v>3532</v>
      </c>
    </row>
    <row r="29" spans="1:25">
      <c r="A29" s="2853">
        <v>4162</v>
      </c>
      <c r="B29" s="605"/>
      <c r="C29" s="2995" t="s">
        <v>109</v>
      </c>
      <c r="D29" s="2921" t="s">
        <v>3557</v>
      </c>
      <c r="E29" s="110" t="s">
        <v>3558</v>
      </c>
      <c r="F29" s="92"/>
      <c r="G29" s="92"/>
      <c r="H29" s="128">
        <f>H30</f>
        <v>0</v>
      </c>
      <c r="I29" s="92"/>
      <c r="J29" s="92"/>
      <c r="K29" s="128"/>
      <c r="L29" s="1729">
        <f>SUM(L30)</f>
        <v>1</v>
      </c>
      <c r="M29" s="76">
        <f>M30</f>
        <v>0</v>
      </c>
      <c r="N29" s="1726">
        <f>N30</f>
        <v>0</v>
      </c>
      <c r="O29" s="3246">
        <f>IF(Q29&gt;0,N29,"na")</f>
        <v>0</v>
      </c>
      <c r="P29" s="97">
        <f>SUM(P30)</f>
        <v>371300445</v>
      </c>
      <c r="Q29" s="97">
        <f t="shared" ref="Q29:S29" si="10">SUM(Q30)</f>
        <v>371300445</v>
      </c>
      <c r="R29" s="97">
        <f t="shared" si="10"/>
        <v>353619471</v>
      </c>
      <c r="S29" s="97">
        <f t="shared" si="10"/>
        <v>0</v>
      </c>
      <c r="T29" s="1727">
        <f t="shared" ref="T29:U91" si="11">+IF(Q29=0,0,R29/Q29)</f>
        <v>0.95238095122670807</v>
      </c>
      <c r="U29" s="1727">
        <f t="shared" si="11"/>
        <v>0</v>
      </c>
      <c r="V29" s="71"/>
      <c r="W29" s="71"/>
      <c r="X29" s="71"/>
      <c r="Y29" s="128"/>
    </row>
    <row r="30" spans="1:25" ht="94.5" customHeight="1">
      <c r="A30" s="2970"/>
      <c r="B30" s="605"/>
      <c r="C30" s="3205"/>
      <c r="D30" s="3245"/>
      <c r="E30" s="110" t="s">
        <v>3559</v>
      </c>
      <c r="F30" s="92"/>
      <c r="G30" s="92" t="s">
        <v>3530</v>
      </c>
      <c r="H30" s="89">
        <f>M30</f>
        <v>0</v>
      </c>
      <c r="I30" s="92" t="s">
        <v>3531</v>
      </c>
      <c r="J30" s="92" t="s">
        <v>3530</v>
      </c>
      <c r="K30" s="128">
        <v>1</v>
      </c>
      <c r="L30" s="1729">
        <v>1</v>
      </c>
      <c r="M30" s="216">
        <v>0</v>
      </c>
      <c r="N30" s="1729">
        <f>(M30/K30)*L30</f>
        <v>0</v>
      </c>
      <c r="O30" s="3247"/>
      <c r="P30" s="97">
        <v>371300445</v>
      </c>
      <c r="Q30" s="216">
        <v>371300445</v>
      </c>
      <c r="R30" s="216">
        <v>353619471</v>
      </c>
      <c r="S30" s="216">
        <v>0</v>
      </c>
      <c r="T30" s="1730">
        <f t="shared" si="11"/>
        <v>0.95238095122670807</v>
      </c>
      <c r="U30" s="1730">
        <f t="shared" si="11"/>
        <v>0</v>
      </c>
      <c r="V30" s="1731">
        <v>45469</v>
      </c>
      <c r="W30" s="1731">
        <v>45657</v>
      </c>
      <c r="X30" s="92" t="s">
        <v>5482</v>
      </c>
      <c r="Y30" s="128" t="s">
        <v>3532</v>
      </c>
    </row>
    <row r="31" spans="1:25">
      <c r="A31" s="2853">
        <v>4162</v>
      </c>
      <c r="B31" s="605"/>
      <c r="C31" s="2995" t="s">
        <v>109</v>
      </c>
      <c r="D31" s="2921" t="s">
        <v>3560</v>
      </c>
      <c r="E31" s="110" t="s">
        <v>3561</v>
      </c>
      <c r="F31" s="92"/>
      <c r="G31" s="92"/>
      <c r="H31" s="128">
        <f>H32</f>
        <v>0</v>
      </c>
      <c r="I31" s="92"/>
      <c r="J31" s="92"/>
      <c r="K31" s="128"/>
      <c r="L31" s="1729">
        <f>SUM(L32)</f>
        <v>1</v>
      </c>
      <c r="M31" s="76">
        <f>M32</f>
        <v>0</v>
      </c>
      <c r="N31" s="1726">
        <f>N32</f>
        <v>0</v>
      </c>
      <c r="O31" s="3246">
        <f>IF(Q31&gt;0,N31,"na")</f>
        <v>0</v>
      </c>
      <c r="P31" s="97">
        <f>SUM(P32)</f>
        <v>103849457</v>
      </c>
      <c r="Q31" s="97">
        <f t="shared" ref="Q31:S31" si="12">SUM(Q32)</f>
        <v>103849457</v>
      </c>
      <c r="R31" s="97">
        <f t="shared" si="12"/>
        <v>98904245</v>
      </c>
      <c r="S31" s="97">
        <f t="shared" si="12"/>
        <v>0</v>
      </c>
      <c r="T31" s="1727">
        <f t="shared" si="11"/>
        <v>0.95238095467364836</v>
      </c>
      <c r="U31" s="1727">
        <f t="shared" si="11"/>
        <v>0</v>
      </c>
      <c r="V31" s="71"/>
      <c r="W31" s="71"/>
      <c r="X31" s="71"/>
      <c r="Y31" s="128"/>
    </row>
    <row r="32" spans="1:25" ht="94.5" customHeight="1">
      <c r="A32" s="2970"/>
      <c r="B32" s="605"/>
      <c r="C32" s="3205"/>
      <c r="D32" s="3245"/>
      <c r="E32" s="110" t="s">
        <v>3562</v>
      </c>
      <c r="F32" s="92"/>
      <c r="G32" s="92" t="s">
        <v>3530</v>
      </c>
      <c r="H32" s="89">
        <f>M32</f>
        <v>0</v>
      </c>
      <c r="I32" s="92" t="s">
        <v>3531</v>
      </c>
      <c r="J32" s="92" t="s">
        <v>3530</v>
      </c>
      <c r="K32" s="128">
        <v>1</v>
      </c>
      <c r="L32" s="1729">
        <v>1</v>
      </c>
      <c r="M32" s="216">
        <v>0</v>
      </c>
      <c r="N32" s="1729">
        <f>(M32/K32)*L32</f>
        <v>0</v>
      </c>
      <c r="O32" s="3247"/>
      <c r="P32" s="97">
        <v>103849457</v>
      </c>
      <c r="Q32" s="216">
        <v>103849457</v>
      </c>
      <c r="R32" s="216">
        <v>98904245</v>
      </c>
      <c r="S32" s="216">
        <v>0</v>
      </c>
      <c r="T32" s="1730">
        <f t="shared" si="11"/>
        <v>0.95238095467364836</v>
      </c>
      <c r="U32" s="1730">
        <f t="shared" si="11"/>
        <v>0</v>
      </c>
      <c r="V32" s="1731">
        <v>45469</v>
      </c>
      <c r="W32" s="1731">
        <v>45657</v>
      </c>
      <c r="X32" s="92" t="s">
        <v>5482</v>
      </c>
      <c r="Y32" s="128" t="s">
        <v>3532</v>
      </c>
    </row>
    <row r="33" spans="1:25" ht="16.5" customHeight="1">
      <c r="A33" s="111"/>
      <c r="B33" s="112">
        <v>51030010007</v>
      </c>
      <c r="C33" s="112" t="s">
        <v>103</v>
      </c>
      <c r="D33" s="71" t="s">
        <v>3563</v>
      </c>
      <c r="E33" s="101"/>
      <c r="F33" s="101"/>
      <c r="G33" s="101"/>
      <c r="H33" s="111">
        <f>H34</f>
        <v>1</v>
      </c>
      <c r="I33" s="71"/>
      <c r="J33" s="71"/>
      <c r="K33" s="111"/>
      <c r="L33" s="1726"/>
      <c r="M33" s="71"/>
      <c r="N33" s="1726"/>
      <c r="O33" s="1727"/>
      <c r="P33" s="1732"/>
      <c r="Q33" s="76"/>
      <c r="R33" s="76"/>
      <c r="S33" s="76"/>
      <c r="T33" s="1727"/>
      <c r="U33" s="1727"/>
      <c r="V33" s="71"/>
      <c r="W33" s="71"/>
      <c r="X33" s="71"/>
      <c r="Y33" s="111"/>
    </row>
    <row r="34" spans="1:25" ht="16.5" customHeight="1">
      <c r="A34" s="2853">
        <v>4162</v>
      </c>
      <c r="B34" s="605"/>
      <c r="C34" s="2995" t="s">
        <v>109</v>
      </c>
      <c r="D34" s="2921" t="s">
        <v>3564</v>
      </c>
      <c r="E34" s="110" t="s">
        <v>3565</v>
      </c>
      <c r="F34" s="110"/>
      <c r="G34" s="110"/>
      <c r="H34" s="128">
        <f>SUM(H35:H36)</f>
        <v>1</v>
      </c>
      <c r="I34" s="92"/>
      <c r="J34" s="92"/>
      <c r="K34" s="128"/>
      <c r="L34" s="1729">
        <f>SUM(L35:L37)</f>
        <v>1</v>
      </c>
      <c r="M34" s="76">
        <f>SUM(M35:M37)</f>
        <v>1</v>
      </c>
      <c r="N34" s="1726">
        <f>SUM(N35:N37)</f>
        <v>0.48</v>
      </c>
      <c r="O34" s="3246">
        <f>IF(Q34&gt;0,N34,"na")</f>
        <v>0.48</v>
      </c>
      <c r="P34" s="97">
        <f>SUM(P35:P37)</f>
        <v>199216000</v>
      </c>
      <c r="Q34" s="97">
        <f t="shared" ref="Q34:S34" si="13">SUM(Q35:Q37)</f>
        <v>1856760000</v>
      </c>
      <c r="R34" s="97">
        <f t="shared" si="13"/>
        <v>929057000</v>
      </c>
      <c r="S34" s="97">
        <f t="shared" si="13"/>
        <v>70849000</v>
      </c>
      <c r="T34" s="1727">
        <f t="shared" si="11"/>
        <v>0.50036461362804019</v>
      </c>
      <c r="U34" s="1727">
        <f t="shared" si="11"/>
        <v>7.6259045462226754E-2</v>
      </c>
      <c r="V34" s="71"/>
      <c r="W34" s="71"/>
      <c r="X34" s="71"/>
      <c r="Y34" s="128"/>
    </row>
    <row r="35" spans="1:25" ht="108">
      <c r="A35" s="2969"/>
      <c r="B35" s="605"/>
      <c r="C35" s="3204"/>
      <c r="D35" s="3248"/>
      <c r="E35" s="110" t="s">
        <v>3566</v>
      </c>
      <c r="F35" s="110"/>
      <c r="G35" s="2921" t="s">
        <v>3567</v>
      </c>
      <c r="H35" s="89">
        <f>M35</f>
        <v>1</v>
      </c>
      <c r="I35" s="92" t="s">
        <v>3568</v>
      </c>
      <c r="J35" s="92" t="s">
        <v>3569</v>
      </c>
      <c r="K35" s="128">
        <v>1</v>
      </c>
      <c r="L35" s="1729">
        <v>0.94</v>
      </c>
      <c r="M35" s="216">
        <v>1</v>
      </c>
      <c r="N35" s="1729">
        <f>((M35/K35)*L35)/2</f>
        <v>0.47</v>
      </c>
      <c r="O35" s="3249"/>
      <c r="P35" s="97">
        <v>83557333</v>
      </c>
      <c r="Q35" s="216">
        <v>1741101333</v>
      </c>
      <c r="R35" s="216">
        <v>918567000</v>
      </c>
      <c r="S35" s="216">
        <v>66653000</v>
      </c>
      <c r="T35" s="1730">
        <f t="shared" si="11"/>
        <v>0.52757813838282785</v>
      </c>
      <c r="U35" s="1730">
        <f t="shared" si="11"/>
        <v>7.2561936146192926E-2</v>
      </c>
      <c r="V35" s="1731">
        <v>45388</v>
      </c>
      <c r="W35" s="1731">
        <v>45657</v>
      </c>
      <c r="X35" s="92" t="s">
        <v>5483</v>
      </c>
      <c r="Y35" s="2853" t="s">
        <v>3532</v>
      </c>
    </row>
    <row r="36" spans="1:25" ht="108">
      <c r="A36" s="2969"/>
      <c r="B36" s="605"/>
      <c r="C36" s="3204"/>
      <c r="D36" s="3248"/>
      <c r="E36" s="110" t="s">
        <v>3570</v>
      </c>
      <c r="F36" s="110"/>
      <c r="G36" s="3245"/>
      <c r="H36" s="89">
        <f>M36</f>
        <v>0</v>
      </c>
      <c r="I36" s="92" t="s">
        <v>3571</v>
      </c>
      <c r="J36" s="92" t="s">
        <v>3572</v>
      </c>
      <c r="K36" s="128">
        <v>1</v>
      </c>
      <c r="L36" s="1729">
        <v>0.03</v>
      </c>
      <c r="M36" s="216">
        <v>0</v>
      </c>
      <c r="N36" s="1729">
        <v>0.01</v>
      </c>
      <c r="O36" s="3249"/>
      <c r="P36" s="97">
        <v>57829333</v>
      </c>
      <c r="Q36" s="216">
        <v>57829333</v>
      </c>
      <c r="R36" s="216">
        <v>10490000</v>
      </c>
      <c r="S36" s="216">
        <v>4196000</v>
      </c>
      <c r="T36" s="1730">
        <f t="shared" si="11"/>
        <v>0.18139583245755228</v>
      </c>
      <c r="U36" s="1730">
        <f t="shared" si="11"/>
        <v>0.4</v>
      </c>
      <c r="V36" s="1731">
        <v>45388</v>
      </c>
      <c r="W36" s="1731">
        <v>45657</v>
      </c>
      <c r="X36" s="92" t="s">
        <v>5484</v>
      </c>
      <c r="Y36" s="2969"/>
    </row>
    <row r="37" spans="1:25" ht="27">
      <c r="A37" s="2970"/>
      <c r="B37" s="605"/>
      <c r="C37" s="3205"/>
      <c r="D37" s="3245"/>
      <c r="E37" s="110" t="s">
        <v>3573</v>
      </c>
      <c r="F37" s="110"/>
      <c r="G37" s="110"/>
      <c r="H37" s="128"/>
      <c r="I37" s="92" t="s">
        <v>3574</v>
      </c>
      <c r="J37" s="92" t="s">
        <v>3575</v>
      </c>
      <c r="K37" s="128">
        <v>5</v>
      </c>
      <c r="L37" s="1729">
        <v>0.03</v>
      </c>
      <c r="M37" s="216">
        <v>0</v>
      </c>
      <c r="N37" s="1729">
        <f>(M37/K37)*L37</f>
        <v>0</v>
      </c>
      <c r="O37" s="3247"/>
      <c r="P37" s="97">
        <v>57829334</v>
      </c>
      <c r="Q37" s="216">
        <v>57829334</v>
      </c>
      <c r="R37" s="216">
        <v>0</v>
      </c>
      <c r="S37" s="216">
        <v>0</v>
      </c>
      <c r="T37" s="1730">
        <f t="shared" si="11"/>
        <v>0</v>
      </c>
      <c r="U37" s="1730">
        <f t="shared" si="11"/>
        <v>0</v>
      </c>
      <c r="V37" s="92"/>
      <c r="W37" s="92"/>
      <c r="X37" s="1734"/>
      <c r="Y37" s="2970"/>
    </row>
    <row r="38" spans="1:25">
      <c r="A38" s="130"/>
      <c r="B38" s="114">
        <v>52</v>
      </c>
      <c r="C38" s="114" t="s">
        <v>100</v>
      </c>
      <c r="D38" s="604" t="s">
        <v>148</v>
      </c>
      <c r="E38" s="83"/>
      <c r="F38" s="83"/>
      <c r="G38" s="83"/>
      <c r="H38" s="130"/>
      <c r="I38" s="85"/>
      <c r="J38" s="85"/>
      <c r="K38" s="130"/>
      <c r="L38" s="1725"/>
      <c r="M38" s="76"/>
      <c r="N38" s="1726"/>
      <c r="O38" s="1735"/>
      <c r="P38" s="1736"/>
      <c r="Q38" s="76"/>
      <c r="R38" s="76"/>
      <c r="S38" s="76"/>
      <c r="T38" s="1727"/>
      <c r="U38" s="1727"/>
      <c r="V38" s="71"/>
      <c r="W38" s="71"/>
      <c r="X38" s="71"/>
      <c r="Y38" s="130"/>
    </row>
    <row r="39" spans="1:25">
      <c r="A39" s="130"/>
      <c r="B39" s="114">
        <v>5202</v>
      </c>
      <c r="C39" s="130" t="s">
        <v>101</v>
      </c>
      <c r="D39" s="85" t="s">
        <v>1210</v>
      </c>
      <c r="E39" s="83"/>
      <c r="F39" s="83"/>
      <c r="G39" s="83"/>
      <c r="H39" s="130"/>
      <c r="I39" s="85"/>
      <c r="J39" s="85"/>
      <c r="K39" s="130"/>
      <c r="L39" s="1725"/>
      <c r="M39" s="76"/>
      <c r="N39" s="1726"/>
      <c r="O39" s="1735"/>
      <c r="P39" s="1736"/>
      <c r="Q39" s="76"/>
      <c r="R39" s="76"/>
      <c r="S39" s="76"/>
      <c r="T39" s="1727"/>
      <c r="U39" s="1727"/>
      <c r="V39" s="71"/>
      <c r="W39" s="71"/>
      <c r="X39" s="71"/>
      <c r="Y39" s="130"/>
    </row>
    <row r="40" spans="1:25">
      <c r="A40" s="129"/>
      <c r="B40" s="115">
        <v>5202001</v>
      </c>
      <c r="C40" s="115" t="s">
        <v>102</v>
      </c>
      <c r="D40" s="93" t="s">
        <v>1514</v>
      </c>
      <c r="E40" s="87"/>
      <c r="F40" s="87"/>
      <c r="G40" s="87"/>
      <c r="H40" s="129"/>
      <c r="I40" s="93"/>
      <c r="J40" s="93"/>
      <c r="K40" s="129"/>
      <c r="L40" s="1728"/>
      <c r="M40" s="76"/>
      <c r="N40" s="1726"/>
      <c r="O40" s="1726"/>
      <c r="P40" s="1737"/>
      <c r="Q40" s="76"/>
      <c r="R40" s="76"/>
      <c r="S40" s="76"/>
      <c r="T40" s="1727"/>
      <c r="U40" s="1727"/>
      <c r="V40" s="71"/>
      <c r="W40" s="71"/>
      <c r="X40" s="71"/>
      <c r="Y40" s="129"/>
    </row>
    <row r="41" spans="1:25" ht="25.5">
      <c r="A41" s="111"/>
      <c r="B41" s="112">
        <v>52020010007</v>
      </c>
      <c r="C41" s="112" t="s">
        <v>103</v>
      </c>
      <c r="D41" s="71" t="s">
        <v>3576</v>
      </c>
      <c r="E41" s="101"/>
      <c r="F41" s="101"/>
      <c r="G41" s="101"/>
      <c r="H41" s="111">
        <f>H43</f>
        <v>200</v>
      </c>
      <c r="I41" s="71"/>
      <c r="J41" s="71"/>
      <c r="K41" s="111"/>
      <c r="L41" s="1726"/>
      <c r="M41" s="76"/>
      <c r="N41" s="1726"/>
      <c r="O41" s="1735"/>
      <c r="P41" s="1732"/>
      <c r="Q41" s="76"/>
      <c r="R41" s="76"/>
      <c r="S41" s="76"/>
      <c r="T41" s="1727"/>
      <c r="U41" s="1727"/>
      <c r="V41" s="71"/>
      <c r="W41" s="71"/>
      <c r="X41" s="71"/>
      <c r="Y41" s="111"/>
    </row>
    <row r="42" spans="1:25" ht="16.5" customHeight="1">
      <c r="A42" s="2853">
        <v>4162</v>
      </c>
      <c r="B42" s="605"/>
      <c r="C42" s="2995" t="s">
        <v>109</v>
      </c>
      <c r="D42" s="2921" t="s">
        <v>3577</v>
      </c>
      <c r="E42" s="110" t="s">
        <v>3578</v>
      </c>
      <c r="F42" s="110"/>
      <c r="G42" s="110"/>
      <c r="H42" s="128"/>
      <c r="I42" s="92"/>
      <c r="J42" s="92"/>
      <c r="K42" s="128"/>
      <c r="L42" s="1729">
        <f>SUM(L43)</f>
        <v>1</v>
      </c>
      <c r="M42" s="76">
        <f>M43</f>
        <v>200</v>
      </c>
      <c r="N42" s="1726">
        <f>N43</f>
        <v>0.5</v>
      </c>
      <c r="O42" s="3246">
        <f>IF(Q42&gt;0,N42,"na")</f>
        <v>0.5</v>
      </c>
      <c r="P42" s="97">
        <f>SUM(P43)</f>
        <v>819480000</v>
      </c>
      <c r="Q42" s="97">
        <f t="shared" ref="Q42:S42" si="14">SUM(Q43)</f>
        <v>1390184000</v>
      </c>
      <c r="R42" s="97">
        <f t="shared" si="14"/>
        <v>623535000</v>
      </c>
      <c r="S42" s="97">
        <f t="shared" si="14"/>
        <v>133442000</v>
      </c>
      <c r="T42" s="1727">
        <f t="shared" si="11"/>
        <v>0.44852695758259337</v>
      </c>
      <c r="U42" s="1727">
        <f t="shared" si="11"/>
        <v>0.21400883671325588</v>
      </c>
      <c r="V42" s="71"/>
      <c r="W42" s="71"/>
      <c r="X42" s="71"/>
      <c r="Y42" s="128"/>
    </row>
    <row r="43" spans="1:25" ht="94.5" customHeight="1">
      <c r="A43" s="2970"/>
      <c r="B43" s="605"/>
      <c r="C43" s="3205"/>
      <c r="D43" s="3245"/>
      <c r="E43" s="110" t="s">
        <v>3579</v>
      </c>
      <c r="F43" s="110"/>
      <c r="G43" s="110" t="s">
        <v>3576</v>
      </c>
      <c r="H43" s="89">
        <f>M43</f>
        <v>200</v>
      </c>
      <c r="I43" s="92" t="s">
        <v>3580</v>
      </c>
      <c r="J43" s="92" t="s">
        <v>3581</v>
      </c>
      <c r="K43" s="128">
        <v>400</v>
      </c>
      <c r="L43" s="1729">
        <v>1</v>
      </c>
      <c r="M43" s="216">
        <v>200</v>
      </c>
      <c r="N43" s="1729">
        <f>(M43/K43)*L43</f>
        <v>0.5</v>
      </c>
      <c r="O43" s="3247"/>
      <c r="P43" s="97">
        <v>819480000</v>
      </c>
      <c r="Q43" s="216">
        <v>1390184000</v>
      </c>
      <c r="R43" s="216">
        <v>623535000</v>
      </c>
      <c r="S43" s="216">
        <v>133442000</v>
      </c>
      <c r="T43" s="1730">
        <f t="shared" si="11"/>
        <v>0.44852695758259337</v>
      </c>
      <c r="U43" s="1730">
        <f t="shared" si="11"/>
        <v>0.21400883671325588</v>
      </c>
      <c r="V43" s="1731">
        <v>45335</v>
      </c>
      <c r="W43" s="1731">
        <v>45657</v>
      </c>
      <c r="X43" s="92" t="s">
        <v>5485</v>
      </c>
      <c r="Y43" s="128" t="s">
        <v>3532</v>
      </c>
    </row>
    <row r="44" spans="1:25" ht="33">
      <c r="A44" s="129"/>
      <c r="B44" s="115">
        <v>5202002</v>
      </c>
      <c r="C44" s="115" t="s">
        <v>102</v>
      </c>
      <c r="D44" s="93" t="s">
        <v>1525</v>
      </c>
      <c r="E44" s="87"/>
      <c r="F44" s="87"/>
      <c r="G44" s="87"/>
      <c r="H44" s="129"/>
      <c r="I44" s="93"/>
      <c r="J44" s="93"/>
      <c r="K44" s="129"/>
      <c r="L44" s="1728"/>
      <c r="M44" s="76"/>
      <c r="N44" s="1726"/>
      <c r="O44" s="1735"/>
      <c r="P44" s="1737"/>
      <c r="Q44" s="76"/>
      <c r="R44" s="76"/>
      <c r="S44" s="76"/>
      <c r="T44" s="1727"/>
      <c r="U44" s="1727"/>
      <c r="V44" s="71"/>
      <c r="W44" s="71"/>
      <c r="X44" s="71"/>
      <c r="Y44" s="129"/>
    </row>
    <row r="45" spans="1:25" ht="25.5">
      <c r="A45" s="71"/>
      <c r="B45" s="112">
        <v>52020020001</v>
      </c>
      <c r="C45" s="112" t="s">
        <v>103</v>
      </c>
      <c r="D45" s="71" t="s">
        <v>3582</v>
      </c>
      <c r="E45" s="101"/>
      <c r="F45" s="71"/>
      <c r="G45" s="71"/>
      <c r="H45" s="111">
        <f>H47</f>
        <v>25</v>
      </c>
      <c r="I45" s="71"/>
      <c r="J45" s="71"/>
      <c r="K45" s="111"/>
      <c r="L45" s="1726"/>
      <c r="M45" s="71"/>
      <c r="N45" s="1726"/>
      <c r="O45" s="1727"/>
      <c r="P45" s="1732"/>
      <c r="Q45" s="76"/>
      <c r="R45" s="76"/>
      <c r="S45" s="76"/>
      <c r="T45" s="1727"/>
      <c r="U45" s="1727"/>
      <c r="V45" s="71"/>
      <c r="W45" s="71"/>
      <c r="X45" s="71"/>
      <c r="Y45" s="111"/>
    </row>
    <row r="46" spans="1:25" ht="16.5" customHeight="1">
      <c r="A46" s="2853">
        <v>4162</v>
      </c>
      <c r="B46" s="605"/>
      <c r="C46" s="2995" t="s">
        <v>109</v>
      </c>
      <c r="D46" s="2921" t="s">
        <v>3583</v>
      </c>
      <c r="E46" s="110" t="s">
        <v>3584</v>
      </c>
      <c r="F46" s="92"/>
      <c r="G46" s="92"/>
      <c r="H46" s="128"/>
      <c r="I46" s="92"/>
      <c r="J46" s="92"/>
      <c r="K46" s="128"/>
      <c r="L46" s="1729">
        <f>SUM(L47)</f>
        <v>1</v>
      </c>
      <c r="M46" s="76">
        <f>M47</f>
        <v>25</v>
      </c>
      <c r="N46" s="1726">
        <f>N47</f>
        <v>0.05</v>
      </c>
      <c r="O46" s="3246">
        <f>IF(Q46&gt;0,N46,"na")</f>
        <v>0.05</v>
      </c>
      <c r="P46" s="97">
        <f>SUM(P47)</f>
        <v>448696000</v>
      </c>
      <c r="Q46" s="97">
        <f t="shared" ref="Q46:S46" si="15">SUM(Q47)</f>
        <v>742872000</v>
      </c>
      <c r="R46" s="97">
        <f t="shared" si="15"/>
        <v>263127000</v>
      </c>
      <c r="S46" s="97">
        <f t="shared" si="15"/>
        <v>86871000</v>
      </c>
      <c r="T46" s="1727">
        <f t="shared" si="11"/>
        <v>0.35420233903014248</v>
      </c>
      <c r="U46" s="1727">
        <f t="shared" si="11"/>
        <v>0.33014855944087834</v>
      </c>
      <c r="V46" s="71"/>
      <c r="W46" s="71"/>
      <c r="X46" s="71"/>
      <c r="Y46" s="128"/>
    </row>
    <row r="47" spans="1:25" ht="121.5" customHeight="1">
      <c r="A47" s="2970"/>
      <c r="B47" s="605"/>
      <c r="C47" s="3205"/>
      <c r="D47" s="3245"/>
      <c r="E47" s="110" t="s">
        <v>3585</v>
      </c>
      <c r="F47" s="92"/>
      <c r="G47" s="92" t="s">
        <v>3582</v>
      </c>
      <c r="H47" s="89">
        <f>M47</f>
        <v>25</v>
      </c>
      <c r="I47" s="92" t="s">
        <v>3586</v>
      </c>
      <c r="J47" s="92" t="s">
        <v>3581</v>
      </c>
      <c r="K47" s="128">
        <v>500</v>
      </c>
      <c r="L47" s="1729">
        <v>1</v>
      </c>
      <c r="M47" s="216">
        <v>25</v>
      </c>
      <c r="N47" s="1729">
        <f>(M47/K47)*L47</f>
        <v>0.05</v>
      </c>
      <c r="O47" s="3247"/>
      <c r="P47" s="97">
        <v>448696000</v>
      </c>
      <c r="Q47" s="216">
        <v>742872000</v>
      </c>
      <c r="R47" s="216">
        <v>263127000</v>
      </c>
      <c r="S47" s="216">
        <v>86871000</v>
      </c>
      <c r="T47" s="1730">
        <f t="shared" si="11"/>
        <v>0.35420233903014248</v>
      </c>
      <c r="U47" s="1730">
        <f t="shared" si="11"/>
        <v>0.33014855944087834</v>
      </c>
      <c r="V47" s="1731">
        <v>45336</v>
      </c>
      <c r="W47" s="1731">
        <v>45657</v>
      </c>
      <c r="X47" s="92" t="s">
        <v>5486</v>
      </c>
      <c r="Y47" s="128" t="s">
        <v>3532</v>
      </c>
    </row>
    <row r="48" spans="1:25" ht="51">
      <c r="A48" s="71"/>
      <c r="B48" s="112">
        <v>52020020008</v>
      </c>
      <c r="C48" s="112" t="s">
        <v>103</v>
      </c>
      <c r="D48" s="71" t="s">
        <v>3587</v>
      </c>
      <c r="E48" s="101"/>
      <c r="F48" s="71"/>
      <c r="G48" s="71"/>
      <c r="H48" s="111">
        <f>H49+H53+H55+H57+H59+H61+H63+H65+H67+H69+H71+H73+H75+H77+H79+H81</f>
        <v>1614</v>
      </c>
      <c r="I48" s="71"/>
      <c r="J48" s="71"/>
      <c r="K48" s="111"/>
      <c r="L48" s="1726"/>
      <c r="M48" s="71"/>
      <c r="N48" s="1726"/>
      <c r="O48" s="1727"/>
      <c r="P48" s="1732"/>
      <c r="Q48" s="76"/>
      <c r="R48" s="76"/>
      <c r="S48" s="76"/>
      <c r="T48" s="1727"/>
      <c r="U48" s="1727"/>
      <c r="V48" s="71"/>
      <c r="W48" s="71"/>
      <c r="X48" s="71"/>
      <c r="Y48" s="111"/>
    </row>
    <row r="49" spans="1:25" ht="16.5" customHeight="1">
      <c r="A49" s="2853">
        <v>4162</v>
      </c>
      <c r="B49" s="605"/>
      <c r="C49" s="2995" t="s">
        <v>109</v>
      </c>
      <c r="D49" s="2921" t="s">
        <v>3588</v>
      </c>
      <c r="E49" s="110" t="s">
        <v>3589</v>
      </c>
      <c r="F49" s="92"/>
      <c r="G49" s="92"/>
      <c r="H49" s="128">
        <f>SUM(H50:H52)</f>
        <v>1614</v>
      </c>
      <c r="I49" s="92"/>
      <c r="J49" s="92"/>
      <c r="K49" s="128"/>
      <c r="L49" s="1729">
        <f>SUM(L50:L52)</f>
        <v>1</v>
      </c>
      <c r="M49" s="76">
        <f>SUM(M50:M52)</f>
        <v>1614</v>
      </c>
      <c r="N49" s="1726">
        <f>SUM(N50:N52)</f>
        <v>0.46420666666666666</v>
      </c>
      <c r="O49" s="3246">
        <f>IF(Q49&gt;0,N49,"na")</f>
        <v>0.46420666666666666</v>
      </c>
      <c r="P49" s="97">
        <f>SUM(P50:P52)</f>
        <v>6770096000</v>
      </c>
      <c r="Q49" s="97">
        <f t="shared" ref="Q49:S49" si="16">SUM(Q50:Q52)</f>
        <v>11178348044</v>
      </c>
      <c r="R49" s="97">
        <f t="shared" si="16"/>
        <v>4422450000</v>
      </c>
      <c r="S49" s="97">
        <f t="shared" si="16"/>
        <v>918752000</v>
      </c>
      <c r="T49" s="1727">
        <f t="shared" si="11"/>
        <v>0.39562643626700805</v>
      </c>
      <c r="U49" s="1727">
        <f t="shared" si="11"/>
        <v>0.20774728939841039</v>
      </c>
      <c r="V49" s="71"/>
      <c r="W49" s="71"/>
      <c r="X49" s="71"/>
      <c r="Y49" s="128"/>
    </row>
    <row r="50" spans="1:25" ht="94.5" customHeight="1">
      <c r="A50" s="2969"/>
      <c r="B50" s="605"/>
      <c r="C50" s="3204"/>
      <c r="D50" s="3248"/>
      <c r="E50" s="110" t="s">
        <v>3590</v>
      </c>
      <c r="F50" s="92"/>
      <c r="G50" s="2921" t="s">
        <v>3591</v>
      </c>
      <c r="H50" s="89">
        <f>M50</f>
        <v>1254</v>
      </c>
      <c r="I50" s="92" t="s">
        <v>3592</v>
      </c>
      <c r="J50" s="92" t="s">
        <v>3593</v>
      </c>
      <c r="K50" s="128">
        <v>2000</v>
      </c>
      <c r="L50" s="1729">
        <v>0.62</v>
      </c>
      <c r="M50" s="216">
        <v>1254</v>
      </c>
      <c r="N50" s="1729">
        <f>(M50/K50)*L50</f>
        <v>0.38873999999999997</v>
      </c>
      <c r="O50" s="3249"/>
      <c r="P50" s="97">
        <v>4049952800</v>
      </c>
      <c r="Q50" s="97">
        <v>6984476844</v>
      </c>
      <c r="R50" s="216">
        <v>2912526000</v>
      </c>
      <c r="S50" s="216">
        <v>587461000</v>
      </c>
      <c r="T50" s="1730">
        <f t="shared" si="11"/>
        <v>0.41699987916804382</v>
      </c>
      <c r="U50" s="1730">
        <f t="shared" si="11"/>
        <v>0.20170154704198348</v>
      </c>
      <c r="V50" s="1731">
        <v>45322</v>
      </c>
      <c r="W50" s="1731">
        <v>45657</v>
      </c>
      <c r="X50" s="92" t="s">
        <v>5487</v>
      </c>
      <c r="Y50" s="2853" t="s">
        <v>3532</v>
      </c>
    </row>
    <row r="51" spans="1:25" ht="67.5" customHeight="1">
      <c r="A51" s="2969"/>
      <c r="B51" s="605"/>
      <c r="C51" s="3204"/>
      <c r="D51" s="3248"/>
      <c r="E51" s="110" t="s">
        <v>3594</v>
      </c>
      <c r="F51" s="110"/>
      <c r="G51" s="3248"/>
      <c r="H51" s="89">
        <f t="shared" ref="H51:H52" si="17">M51</f>
        <v>60</v>
      </c>
      <c r="I51" s="92" t="s">
        <v>3595</v>
      </c>
      <c r="J51" s="92" t="s">
        <v>3581</v>
      </c>
      <c r="K51" s="128">
        <v>500</v>
      </c>
      <c r="L51" s="1729">
        <v>0.24</v>
      </c>
      <c r="M51" s="216">
        <v>60</v>
      </c>
      <c r="N51" s="1729">
        <f>(M51/K51)*L51</f>
        <v>2.8799999999999999E-2</v>
      </c>
      <c r="O51" s="3249"/>
      <c r="P51" s="97">
        <v>1209988880</v>
      </c>
      <c r="Q51" s="97">
        <v>2683716880</v>
      </c>
      <c r="R51" s="216">
        <v>1093914000</v>
      </c>
      <c r="S51" s="216">
        <v>177475000</v>
      </c>
      <c r="T51" s="1730">
        <f t="shared" si="11"/>
        <v>0.40761155103663543</v>
      </c>
      <c r="U51" s="1730">
        <f t="shared" si="11"/>
        <v>0.16223853063403521</v>
      </c>
      <c r="V51" s="1731">
        <v>45324</v>
      </c>
      <c r="W51" s="1731">
        <v>45657</v>
      </c>
      <c r="X51" s="92" t="s">
        <v>5488</v>
      </c>
      <c r="Y51" s="2969"/>
    </row>
    <row r="52" spans="1:25" ht="121.5">
      <c r="A52" s="2970"/>
      <c r="B52" s="605"/>
      <c r="C52" s="3205"/>
      <c r="D52" s="3245"/>
      <c r="E52" s="110" t="s">
        <v>3596</v>
      </c>
      <c r="F52" s="110"/>
      <c r="G52" s="3245"/>
      <c r="H52" s="89">
        <f t="shared" si="17"/>
        <v>300</v>
      </c>
      <c r="I52" s="92" t="s">
        <v>3597</v>
      </c>
      <c r="J52" s="92" t="s">
        <v>2510</v>
      </c>
      <c r="K52" s="128">
        <v>300</v>
      </c>
      <c r="L52" s="1729">
        <v>0.14000000000000001</v>
      </c>
      <c r="M52" s="216">
        <v>300</v>
      </c>
      <c r="N52" s="1729">
        <f>((M52/K52)*L52)/3</f>
        <v>4.6666666666666669E-2</v>
      </c>
      <c r="O52" s="3247"/>
      <c r="P52" s="97">
        <v>1510154320</v>
      </c>
      <c r="Q52" s="97">
        <v>1510154320</v>
      </c>
      <c r="R52" s="216">
        <v>416010000</v>
      </c>
      <c r="S52" s="216">
        <v>153816000</v>
      </c>
      <c r="T52" s="1730">
        <f t="shared" si="11"/>
        <v>0.27547515806199196</v>
      </c>
      <c r="U52" s="1730">
        <f t="shared" si="11"/>
        <v>0.3697411119925002</v>
      </c>
      <c r="V52" s="1731">
        <v>45384</v>
      </c>
      <c r="W52" s="1731">
        <v>45657</v>
      </c>
      <c r="X52" s="92" t="s">
        <v>5489</v>
      </c>
      <c r="Y52" s="2970"/>
    </row>
    <row r="53" spans="1:25" ht="16.5" customHeight="1">
      <c r="A53" s="2853">
        <v>4162</v>
      </c>
      <c r="B53" s="605"/>
      <c r="C53" s="2995" t="s">
        <v>109</v>
      </c>
      <c r="D53" s="2921" t="s">
        <v>3598</v>
      </c>
      <c r="E53" s="110" t="s">
        <v>3599</v>
      </c>
      <c r="F53" s="110"/>
      <c r="G53" s="1278"/>
      <c r="H53" s="128">
        <f>H54</f>
        <v>0</v>
      </c>
      <c r="I53" s="92"/>
      <c r="J53" s="92"/>
      <c r="K53" s="128"/>
      <c r="L53" s="1729">
        <f>SUM(L54)</f>
        <v>1</v>
      </c>
      <c r="M53" s="76">
        <f>M54</f>
        <v>0</v>
      </c>
      <c r="N53" s="1726">
        <f>N54</f>
        <v>0</v>
      </c>
      <c r="O53" s="3246">
        <f>IF(Q53&gt;0,N53,"na")</f>
        <v>0</v>
      </c>
      <c r="P53" s="97">
        <f>SUM(P54)</f>
        <v>382910232</v>
      </c>
      <c r="Q53" s="97">
        <f t="shared" ref="Q53:S53" si="18">SUM(Q54)</f>
        <v>382910232</v>
      </c>
      <c r="R53" s="97">
        <f t="shared" si="18"/>
        <v>364676411</v>
      </c>
      <c r="S53" s="97">
        <f t="shared" si="18"/>
        <v>0</v>
      </c>
      <c r="T53" s="1727">
        <f t="shared" si="11"/>
        <v>0.95238095126170463</v>
      </c>
      <c r="U53" s="1727">
        <f t="shared" si="11"/>
        <v>0</v>
      </c>
      <c r="V53" s="71"/>
      <c r="W53" s="71"/>
      <c r="X53" s="71"/>
      <c r="Y53" s="1225"/>
    </row>
    <row r="54" spans="1:25" ht="148.5" customHeight="1">
      <c r="A54" s="2970"/>
      <c r="B54" s="605"/>
      <c r="C54" s="3205"/>
      <c r="D54" s="3245"/>
      <c r="E54" s="110" t="s">
        <v>3600</v>
      </c>
      <c r="F54" s="110"/>
      <c r="G54" s="1278" t="s">
        <v>3591</v>
      </c>
      <c r="H54" s="89">
        <f>M54</f>
        <v>0</v>
      </c>
      <c r="I54" s="92" t="s">
        <v>3601</v>
      </c>
      <c r="J54" s="92" t="s">
        <v>3593</v>
      </c>
      <c r="K54" s="128">
        <v>680</v>
      </c>
      <c r="L54" s="1729">
        <v>1</v>
      </c>
      <c r="M54" s="76">
        <v>0</v>
      </c>
      <c r="N54" s="1726">
        <f>(M54/K54)*L54</f>
        <v>0</v>
      </c>
      <c r="O54" s="3247"/>
      <c r="P54" s="97">
        <v>382910232</v>
      </c>
      <c r="Q54" s="97">
        <v>382910232</v>
      </c>
      <c r="R54" s="76">
        <v>364676411</v>
      </c>
      <c r="S54" s="76">
        <v>0</v>
      </c>
      <c r="T54" s="1727">
        <f t="shared" si="11"/>
        <v>0.95238095126170463</v>
      </c>
      <c r="U54" s="1727">
        <f t="shared" si="11"/>
        <v>0</v>
      </c>
      <c r="V54" s="1731">
        <v>45469</v>
      </c>
      <c r="W54" s="1731">
        <v>45657</v>
      </c>
      <c r="X54" s="71" t="s">
        <v>5482</v>
      </c>
      <c r="Y54" s="1225" t="s">
        <v>3532</v>
      </c>
    </row>
    <row r="55" spans="1:25" ht="16.5" customHeight="1">
      <c r="A55" s="2853">
        <v>4162</v>
      </c>
      <c r="B55" s="605"/>
      <c r="C55" s="2995" t="s">
        <v>109</v>
      </c>
      <c r="D55" s="2921" t="s">
        <v>3602</v>
      </c>
      <c r="E55" s="110" t="s">
        <v>3603</v>
      </c>
      <c r="F55" s="110"/>
      <c r="G55" s="1278"/>
      <c r="H55" s="128">
        <f>H56</f>
        <v>0</v>
      </c>
      <c r="I55" s="92"/>
      <c r="J55" s="92"/>
      <c r="K55" s="128"/>
      <c r="L55" s="1729">
        <f>SUM(L56)</f>
        <v>1</v>
      </c>
      <c r="M55" s="76">
        <f>M56</f>
        <v>0</v>
      </c>
      <c r="N55" s="1726">
        <f>N56</f>
        <v>0</v>
      </c>
      <c r="O55" s="3246">
        <f>IF(Q55&gt;0,N55,"na")</f>
        <v>0</v>
      </c>
      <c r="P55" s="97">
        <f>SUM(P56)</f>
        <v>591709474</v>
      </c>
      <c r="Q55" s="97">
        <f t="shared" ref="Q55:S55" si="19">SUM(Q56)</f>
        <v>591709474</v>
      </c>
      <c r="R55" s="97">
        <f t="shared" si="19"/>
        <v>581284832</v>
      </c>
      <c r="S55" s="97">
        <f t="shared" si="19"/>
        <v>0</v>
      </c>
      <c r="T55" s="1727">
        <f t="shared" si="11"/>
        <v>0.98238216141862889</v>
      </c>
      <c r="U55" s="1727">
        <f t="shared" si="11"/>
        <v>0</v>
      </c>
      <c r="V55" s="71"/>
      <c r="W55" s="71"/>
      <c r="X55" s="71"/>
      <c r="Y55" s="1225"/>
    </row>
    <row r="56" spans="1:25" ht="148.5" customHeight="1">
      <c r="A56" s="2970"/>
      <c r="B56" s="605"/>
      <c r="C56" s="3205"/>
      <c r="D56" s="3245"/>
      <c r="E56" s="110" t="s">
        <v>3604</v>
      </c>
      <c r="F56" s="110"/>
      <c r="G56" s="1278" t="s">
        <v>3591</v>
      </c>
      <c r="H56" s="89">
        <f>M56</f>
        <v>0</v>
      </c>
      <c r="I56" s="92" t="s">
        <v>3605</v>
      </c>
      <c r="J56" s="92" t="s">
        <v>3593</v>
      </c>
      <c r="K56" s="128">
        <v>1010</v>
      </c>
      <c r="L56" s="1729">
        <v>1</v>
      </c>
      <c r="M56" s="216">
        <v>0</v>
      </c>
      <c r="N56" s="1729">
        <f>(M56/K56)*L56</f>
        <v>0</v>
      </c>
      <c r="O56" s="3247"/>
      <c r="P56" s="97">
        <v>591709474</v>
      </c>
      <c r="Q56" s="216">
        <v>591709474</v>
      </c>
      <c r="R56" s="216">
        <v>581284832</v>
      </c>
      <c r="S56" s="216">
        <v>0</v>
      </c>
      <c r="T56" s="1730">
        <f t="shared" si="11"/>
        <v>0.98238216141862889</v>
      </c>
      <c r="U56" s="1730">
        <f t="shared" si="11"/>
        <v>0</v>
      </c>
      <c r="V56" s="1731">
        <v>45469</v>
      </c>
      <c r="W56" s="1731">
        <v>45657</v>
      </c>
      <c r="X56" s="92" t="s">
        <v>5482</v>
      </c>
      <c r="Y56" s="1225" t="s">
        <v>3532</v>
      </c>
    </row>
    <row r="57" spans="1:25" ht="16.5" customHeight="1">
      <c r="A57" s="2853">
        <v>4162</v>
      </c>
      <c r="B57" s="605"/>
      <c r="C57" s="2995" t="s">
        <v>109</v>
      </c>
      <c r="D57" s="2921" t="s">
        <v>3606</v>
      </c>
      <c r="E57" s="110" t="s">
        <v>3607</v>
      </c>
      <c r="F57" s="110"/>
      <c r="G57" s="1278"/>
      <c r="H57" s="128">
        <f>H58</f>
        <v>0</v>
      </c>
      <c r="I57" s="92"/>
      <c r="J57" s="92"/>
      <c r="K57" s="128"/>
      <c r="L57" s="1729">
        <f>SUM(L58)</f>
        <v>1</v>
      </c>
      <c r="M57" s="76">
        <f>M58</f>
        <v>0</v>
      </c>
      <c r="N57" s="1726">
        <f>N58</f>
        <v>0</v>
      </c>
      <c r="O57" s="3246">
        <f>IF(Q57&gt;0,N57,"na")</f>
        <v>0</v>
      </c>
      <c r="P57" s="97">
        <f>SUM(P58)</f>
        <v>216100716</v>
      </c>
      <c r="Q57" s="97">
        <f t="shared" ref="Q57:S57" si="20">SUM(Q58)</f>
        <v>216100716</v>
      </c>
      <c r="R57" s="97">
        <f t="shared" si="20"/>
        <v>205810206</v>
      </c>
      <c r="S57" s="97">
        <f t="shared" si="20"/>
        <v>0</v>
      </c>
      <c r="T57" s="1727">
        <f t="shared" si="11"/>
        <v>0.95238095370308717</v>
      </c>
      <c r="U57" s="1727">
        <f t="shared" si="11"/>
        <v>0</v>
      </c>
      <c r="V57" s="71"/>
      <c r="W57" s="71"/>
      <c r="X57" s="71"/>
      <c r="Y57" s="1225"/>
    </row>
    <row r="58" spans="1:25" ht="148.5" customHeight="1">
      <c r="A58" s="2970"/>
      <c r="B58" s="605"/>
      <c r="C58" s="3205"/>
      <c r="D58" s="3245"/>
      <c r="E58" s="110" t="s">
        <v>3608</v>
      </c>
      <c r="F58" s="110"/>
      <c r="G58" s="1278" t="s">
        <v>3591</v>
      </c>
      <c r="H58" s="89">
        <f>M58</f>
        <v>0</v>
      </c>
      <c r="I58" s="92" t="s">
        <v>3609</v>
      </c>
      <c r="J58" s="92" t="s">
        <v>3593</v>
      </c>
      <c r="K58" s="128">
        <v>510</v>
      </c>
      <c r="L58" s="1729">
        <v>1</v>
      </c>
      <c r="M58" s="216">
        <v>0</v>
      </c>
      <c r="N58" s="1729">
        <f>(M58/K58)*L58</f>
        <v>0</v>
      </c>
      <c r="O58" s="3247"/>
      <c r="P58" s="97">
        <v>216100716</v>
      </c>
      <c r="Q58" s="216">
        <v>216100716</v>
      </c>
      <c r="R58" s="216">
        <v>205810206</v>
      </c>
      <c r="S58" s="216">
        <v>0</v>
      </c>
      <c r="T58" s="1730">
        <f t="shared" si="11"/>
        <v>0.95238095370308717</v>
      </c>
      <c r="U58" s="1730">
        <f t="shared" si="11"/>
        <v>0</v>
      </c>
      <c r="V58" s="1731">
        <v>45469</v>
      </c>
      <c r="W58" s="1731">
        <v>45657</v>
      </c>
      <c r="X58" s="92" t="s">
        <v>5482</v>
      </c>
      <c r="Y58" s="1225" t="s">
        <v>3532</v>
      </c>
    </row>
    <row r="59" spans="1:25" ht="16.5" customHeight="1">
      <c r="A59" s="2853">
        <v>4162</v>
      </c>
      <c r="B59" s="605"/>
      <c r="C59" s="2995" t="s">
        <v>109</v>
      </c>
      <c r="D59" s="2921" t="s">
        <v>3610</v>
      </c>
      <c r="E59" s="110" t="s">
        <v>3611</v>
      </c>
      <c r="F59" s="110"/>
      <c r="G59" s="1278"/>
      <c r="H59" s="128">
        <f>H60</f>
        <v>0</v>
      </c>
      <c r="I59" s="92"/>
      <c r="J59" s="92"/>
      <c r="K59" s="128"/>
      <c r="L59" s="1729">
        <f>SUM(L60)</f>
        <v>1</v>
      </c>
      <c r="M59" s="76">
        <f>M60</f>
        <v>0</v>
      </c>
      <c r="N59" s="1726">
        <f>N60</f>
        <v>0</v>
      </c>
      <c r="O59" s="3246">
        <f>IF(Q59&gt;0,N59,"na")</f>
        <v>0</v>
      </c>
      <c r="P59" s="97">
        <f>SUM(P60)</f>
        <v>458124320</v>
      </c>
      <c r="Q59" s="97">
        <f t="shared" ref="Q59:S59" si="21">SUM(Q60)</f>
        <v>458124320</v>
      </c>
      <c r="R59" s="97">
        <f t="shared" si="21"/>
        <v>436308876</v>
      </c>
      <c r="S59" s="97">
        <f t="shared" si="21"/>
        <v>0</v>
      </c>
      <c r="T59" s="1727">
        <f t="shared" si="11"/>
        <v>0.95238095196517836</v>
      </c>
      <c r="U59" s="1727">
        <f t="shared" si="11"/>
        <v>0</v>
      </c>
      <c r="V59" s="71"/>
      <c r="W59" s="71"/>
      <c r="X59" s="71"/>
      <c r="Y59" s="1225"/>
    </row>
    <row r="60" spans="1:25" ht="148.5" customHeight="1">
      <c r="A60" s="2970"/>
      <c r="B60" s="605"/>
      <c r="C60" s="3205"/>
      <c r="D60" s="3245"/>
      <c r="E60" s="110" t="s">
        <v>3612</v>
      </c>
      <c r="F60" s="110"/>
      <c r="G60" s="1278" t="s">
        <v>3591</v>
      </c>
      <c r="H60" s="89">
        <f>M60</f>
        <v>0</v>
      </c>
      <c r="I60" s="92" t="s">
        <v>3613</v>
      </c>
      <c r="J60" s="92" t="s">
        <v>3593</v>
      </c>
      <c r="K60" s="128">
        <v>900</v>
      </c>
      <c r="L60" s="1729">
        <v>1</v>
      </c>
      <c r="M60" s="76">
        <v>0</v>
      </c>
      <c r="N60" s="1726">
        <f>(M60/K60)*L60</f>
        <v>0</v>
      </c>
      <c r="O60" s="3247"/>
      <c r="P60" s="97">
        <v>458124320</v>
      </c>
      <c r="Q60" s="76">
        <v>458124320</v>
      </c>
      <c r="R60" s="76">
        <v>436308876</v>
      </c>
      <c r="S60" s="76">
        <v>0</v>
      </c>
      <c r="T60" s="1727">
        <f t="shared" si="11"/>
        <v>0.95238095196517836</v>
      </c>
      <c r="U60" s="1727">
        <f t="shared" si="11"/>
        <v>0</v>
      </c>
      <c r="V60" s="1731">
        <v>45469</v>
      </c>
      <c r="W60" s="1731">
        <v>45657</v>
      </c>
      <c r="X60" s="71" t="s">
        <v>5482</v>
      </c>
      <c r="Y60" s="1225" t="s">
        <v>3532</v>
      </c>
    </row>
    <row r="61" spans="1:25" ht="16.5" customHeight="1">
      <c r="A61" s="2853">
        <v>4162</v>
      </c>
      <c r="B61" s="605"/>
      <c r="C61" s="2995" t="s">
        <v>109</v>
      </c>
      <c r="D61" s="2921" t="s">
        <v>3614</v>
      </c>
      <c r="E61" s="110" t="s">
        <v>3615</v>
      </c>
      <c r="F61" s="110"/>
      <c r="G61" s="1278"/>
      <c r="H61" s="128">
        <f>H62</f>
        <v>0</v>
      </c>
      <c r="I61" s="92"/>
      <c r="J61" s="92"/>
      <c r="K61" s="128"/>
      <c r="L61" s="1729">
        <f>SUM(L62)</f>
        <v>1</v>
      </c>
      <c r="M61" s="76">
        <f>M62</f>
        <v>0</v>
      </c>
      <c r="N61" s="1726">
        <f>N62</f>
        <v>0</v>
      </c>
      <c r="O61" s="3246">
        <f>IF(Q61&gt;0,N61,"na")</f>
        <v>0</v>
      </c>
      <c r="P61" s="97">
        <f>SUM(P62)</f>
        <v>456900623</v>
      </c>
      <c r="Q61" s="97">
        <f t="shared" ref="Q61:S61" si="22">SUM(Q62)</f>
        <v>456900623</v>
      </c>
      <c r="R61" s="97">
        <f t="shared" si="22"/>
        <v>435143450</v>
      </c>
      <c r="S61" s="97">
        <f t="shared" si="22"/>
        <v>0</v>
      </c>
      <c r="T61" s="1727">
        <f t="shared" si="11"/>
        <v>0.95238095133873346</v>
      </c>
      <c r="U61" s="1727">
        <f t="shared" si="11"/>
        <v>0</v>
      </c>
      <c r="V61" s="71"/>
      <c r="W61" s="71"/>
      <c r="X61" s="71"/>
      <c r="Y61" s="1225"/>
    </row>
    <row r="62" spans="1:25" ht="148.5" customHeight="1">
      <c r="A62" s="2970"/>
      <c r="B62" s="605"/>
      <c r="C62" s="3205"/>
      <c r="D62" s="3245"/>
      <c r="E62" s="110" t="s">
        <v>3616</v>
      </c>
      <c r="F62" s="110"/>
      <c r="G62" s="1278" t="s">
        <v>3591</v>
      </c>
      <c r="H62" s="89">
        <f>M62</f>
        <v>0</v>
      </c>
      <c r="I62" s="92" t="s">
        <v>3617</v>
      </c>
      <c r="J62" s="92" t="s">
        <v>3593</v>
      </c>
      <c r="K62" s="128">
        <v>640</v>
      </c>
      <c r="L62" s="1729">
        <v>1</v>
      </c>
      <c r="M62" s="216">
        <v>0</v>
      </c>
      <c r="N62" s="1729">
        <f>(M62/K62)*L62</f>
        <v>0</v>
      </c>
      <c r="O62" s="3247"/>
      <c r="P62" s="97">
        <v>456900623</v>
      </c>
      <c r="Q62" s="216">
        <v>456900623</v>
      </c>
      <c r="R62" s="216">
        <v>435143450</v>
      </c>
      <c r="S62" s="216">
        <v>0</v>
      </c>
      <c r="T62" s="1730">
        <f t="shared" si="11"/>
        <v>0.95238095133873346</v>
      </c>
      <c r="U62" s="1730">
        <f t="shared" si="11"/>
        <v>0</v>
      </c>
      <c r="V62" s="1731">
        <v>45469</v>
      </c>
      <c r="W62" s="1731">
        <v>45657</v>
      </c>
      <c r="X62" s="92" t="s">
        <v>5482</v>
      </c>
      <c r="Y62" s="1225" t="s">
        <v>3532</v>
      </c>
    </row>
    <row r="63" spans="1:25" ht="16.5" customHeight="1">
      <c r="A63" s="2853">
        <v>4162</v>
      </c>
      <c r="B63" s="605"/>
      <c r="C63" s="2995" t="s">
        <v>109</v>
      </c>
      <c r="D63" s="2921" t="s">
        <v>3618</v>
      </c>
      <c r="E63" s="110" t="s">
        <v>3619</v>
      </c>
      <c r="F63" s="110"/>
      <c r="G63" s="1278"/>
      <c r="H63" s="128">
        <f>H64</f>
        <v>0</v>
      </c>
      <c r="I63" s="92"/>
      <c r="J63" s="92"/>
      <c r="K63" s="128"/>
      <c r="L63" s="1729">
        <f>SUM(L64)</f>
        <v>1</v>
      </c>
      <c r="M63" s="76">
        <f>M64</f>
        <v>0</v>
      </c>
      <c r="N63" s="1726">
        <f>N64</f>
        <v>0</v>
      </c>
      <c r="O63" s="3246">
        <f>IF(Q63&gt;0,N63,"na")</f>
        <v>0</v>
      </c>
      <c r="P63" s="97">
        <f>SUM(P64)</f>
        <v>193668027</v>
      </c>
      <c r="Q63" s="97">
        <f t="shared" ref="Q63:S63" si="23">SUM(Q64)</f>
        <v>193668027</v>
      </c>
      <c r="R63" s="97">
        <f t="shared" si="23"/>
        <v>184445740</v>
      </c>
      <c r="S63" s="97">
        <f t="shared" si="23"/>
        <v>0</v>
      </c>
      <c r="T63" s="1727">
        <f t="shared" si="11"/>
        <v>0.95238095238095233</v>
      </c>
      <c r="U63" s="1727">
        <f t="shared" si="11"/>
        <v>0</v>
      </c>
      <c r="V63" s="71"/>
      <c r="W63" s="71"/>
      <c r="X63" s="71"/>
      <c r="Y63" s="1225"/>
    </row>
    <row r="64" spans="1:25" ht="148.5" customHeight="1">
      <c r="A64" s="2970"/>
      <c r="B64" s="605"/>
      <c r="C64" s="3205"/>
      <c r="D64" s="3245"/>
      <c r="E64" s="110" t="s">
        <v>3620</v>
      </c>
      <c r="F64" s="110"/>
      <c r="G64" s="1278" t="s">
        <v>3591</v>
      </c>
      <c r="H64" s="89">
        <f>M64</f>
        <v>0</v>
      </c>
      <c r="I64" s="92" t="s">
        <v>3621</v>
      </c>
      <c r="J64" s="92" t="s">
        <v>3593</v>
      </c>
      <c r="K64" s="128">
        <v>380</v>
      </c>
      <c r="L64" s="1729">
        <v>1</v>
      </c>
      <c r="M64" s="216">
        <v>0</v>
      </c>
      <c r="N64" s="1729">
        <f>(M64/K64)*L64</f>
        <v>0</v>
      </c>
      <c r="O64" s="3247"/>
      <c r="P64" s="97">
        <v>193668027</v>
      </c>
      <c r="Q64" s="216">
        <v>193668027</v>
      </c>
      <c r="R64" s="216">
        <v>184445740</v>
      </c>
      <c r="S64" s="216">
        <v>0</v>
      </c>
      <c r="T64" s="1730">
        <f t="shared" si="11"/>
        <v>0.95238095238095233</v>
      </c>
      <c r="U64" s="1730">
        <f t="shared" si="11"/>
        <v>0</v>
      </c>
      <c r="V64" s="1731">
        <v>45469</v>
      </c>
      <c r="W64" s="1731">
        <v>45657</v>
      </c>
      <c r="X64" s="92" t="s">
        <v>5482</v>
      </c>
      <c r="Y64" s="1225" t="s">
        <v>3532</v>
      </c>
    </row>
    <row r="65" spans="1:25" ht="16.5" customHeight="1">
      <c r="A65" s="2853">
        <v>4162</v>
      </c>
      <c r="B65" s="605"/>
      <c r="C65" s="2995" t="s">
        <v>109</v>
      </c>
      <c r="D65" s="2921" t="s">
        <v>3622</v>
      </c>
      <c r="E65" s="110" t="s">
        <v>3623</v>
      </c>
      <c r="F65" s="110"/>
      <c r="G65" s="1278"/>
      <c r="H65" s="128">
        <f>H66</f>
        <v>0</v>
      </c>
      <c r="I65" s="92"/>
      <c r="J65" s="92"/>
      <c r="K65" s="128"/>
      <c r="L65" s="1729">
        <f>SUM(L66)</f>
        <v>1</v>
      </c>
      <c r="M65" s="76">
        <f>M66</f>
        <v>0</v>
      </c>
      <c r="N65" s="1726">
        <f>N66</f>
        <v>0</v>
      </c>
      <c r="O65" s="3246">
        <f>IF(Q65&gt;0,N65,"na")</f>
        <v>0</v>
      </c>
      <c r="P65" s="97">
        <f>SUM(P66)</f>
        <v>501925941</v>
      </c>
      <c r="Q65" s="97">
        <f t="shared" ref="Q65:S65" si="24">SUM(Q66)</f>
        <v>501925941</v>
      </c>
      <c r="R65" s="97">
        <f t="shared" si="24"/>
        <v>495776706</v>
      </c>
      <c r="S65" s="97">
        <f t="shared" si="24"/>
        <v>0</v>
      </c>
      <c r="T65" s="1727">
        <f t="shared" si="11"/>
        <v>0.98774872048304829</v>
      </c>
      <c r="U65" s="1727">
        <f t="shared" si="11"/>
        <v>0</v>
      </c>
      <c r="V65" s="71"/>
      <c r="W65" s="71"/>
      <c r="X65" s="71"/>
      <c r="Y65" s="1225"/>
    </row>
    <row r="66" spans="1:25" ht="148.5" customHeight="1">
      <c r="A66" s="2970"/>
      <c r="B66" s="605"/>
      <c r="C66" s="3205"/>
      <c r="D66" s="3245"/>
      <c r="E66" s="110" t="s">
        <v>3624</v>
      </c>
      <c r="F66" s="110"/>
      <c r="G66" s="1278" t="s">
        <v>3591</v>
      </c>
      <c r="H66" s="89">
        <f>M66</f>
        <v>0</v>
      </c>
      <c r="I66" s="92" t="s">
        <v>3625</v>
      </c>
      <c r="J66" s="92" t="s">
        <v>3593</v>
      </c>
      <c r="K66" s="128">
        <v>1200</v>
      </c>
      <c r="L66" s="1729">
        <v>1</v>
      </c>
      <c r="M66" s="216">
        <v>0</v>
      </c>
      <c r="N66" s="1729">
        <f>(M66/K66)*L66</f>
        <v>0</v>
      </c>
      <c r="O66" s="3247"/>
      <c r="P66" s="97">
        <v>501925941</v>
      </c>
      <c r="Q66" s="216">
        <v>501925941</v>
      </c>
      <c r="R66" s="216">
        <v>495776706</v>
      </c>
      <c r="S66" s="216">
        <v>0</v>
      </c>
      <c r="T66" s="1730">
        <f t="shared" si="11"/>
        <v>0.98774872048304829</v>
      </c>
      <c r="U66" s="1730">
        <f t="shared" si="11"/>
        <v>0</v>
      </c>
      <c r="V66" s="1731">
        <v>45469</v>
      </c>
      <c r="W66" s="1731">
        <v>45657</v>
      </c>
      <c r="X66" s="92" t="s">
        <v>5482</v>
      </c>
      <c r="Y66" s="1225" t="s">
        <v>3532</v>
      </c>
    </row>
    <row r="67" spans="1:25" ht="16.5" customHeight="1">
      <c r="A67" s="2853">
        <v>4162</v>
      </c>
      <c r="B67" s="605"/>
      <c r="C67" s="2995" t="s">
        <v>109</v>
      </c>
      <c r="D67" s="2921" t="s">
        <v>3626</v>
      </c>
      <c r="E67" s="110" t="s">
        <v>3627</v>
      </c>
      <c r="F67" s="110"/>
      <c r="G67" s="1278"/>
      <c r="H67" s="128">
        <f>H68</f>
        <v>0</v>
      </c>
      <c r="I67" s="92"/>
      <c r="J67" s="92"/>
      <c r="K67" s="128"/>
      <c r="L67" s="1729">
        <f>SUM(L68)</f>
        <v>1</v>
      </c>
      <c r="M67" s="76">
        <f>M68</f>
        <v>0</v>
      </c>
      <c r="N67" s="1726">
        <f>N68</f>
        <v>0</v>
      </c>
      <c r="O67" s="3246">
        <f>IF(Q67&gt;0,N67,"na")</f>
        <v>0</v>
      </c>
      <c r="P67" s="97">
        <f>SUM(P68)</f>
        <v>197743533</v>
      </c>
      <c r="Q67" s="97">
        <f t="shared" ref="Q67:S67" si="25">SUM(Q68)</f>
        <v>197743533</v>
      </c>
      <c r="R67" s="97">
        <f t="shared" si="25"/>
        <v>188327174</v>
      </c>
      <c r="S67" s="97">
        <f t="shared" si="25"/>
        <v>0</v>
      </c>
      <c r="T67" s="1727">
        <f t="shared" si="11"/>
        <v>0.95238095093607944</v>
      </c>
      <c r="U67" s="1727">
        <f t="shared" si="11"/>
        <v>0</v>
      </c>
      <c r="V67" s="71"/>
      <c r="W67" s="71"/>
      <c r="X67" s="71"/>
      <c r="Y67" s="1225"/>
    </row>
    <row r="68" spans="1:25" ht="148.5" customHeight="1">
      <c r="A68" s="2970"/>
      <c r="B68" s="605"/>
      <c r="C68" s="3205"/>
      <c r="D68" s="3245"/>
      <c r="E68" s="110" t="s">
        <v>3628</v>
      </c>
      <c r="F68" s="110"/>
      <c r="G68" s="1278" t="s">
        <v>3591</v>
      </c>
      <c r="H68" s="89">
        <f>M68</f>
        <v>0</v>
      </c>
      <c r="I68" s="92" t="s">
        <v>3629</v>
      </c>
      <c r="J68" s="92" t="s">
        <v>3593</v>
      </c>
      <c r="K68" s="128">
        <v>560</v>
      </c>
      <c r="L68" s="1729">
        <v>1</v>
      </c>
      <c r="M68" s="216">
        <v>0</v>
      </c>
      <c r="N68" s="1729">
        <f>(M68/K68)*L68</f>
        <v>0</v>
      </c>
      <c r="O68" s="3250"/>
      <c r="P68" s="97">
        <v>197743533</v>
      </c>
      <c r="Q68" s="216">
        <v>197743533</v>
      </c>
      <c r="R68" s="216">
        <v>188327174</v>
      </c>
      <c r="S68" s="216">
        <v>0</v>
      </c>
      <c r="T68" s="1730">
        <f t="shared" si="11"/>
        <v>0.95238095093607944</v>
      </c>
      <c r="U68" s="1730">
        <f t="shared" si="11"/>
        <v>0</v>
      </c>
      <c r="V68" s="1731">
        <v>45469</v>
      </c>
      <c r="W68" s="1731">
        <v>45657</v>
      </c>
      <c r="X68" s="92" t="s">
        <v>5482</v>
      </c>
      <c r="Y68" s="1225" t="s">
        <v>3532</v>
      </c>
    </row>
    <row r="69" spans="1:25" ht="16.5" customHeight="1">
      <c r="A69" s="2853">
        <v>4162</v>
      </c>
      <c r="B69" s="605"/>
      <c r="C69" s="2995" t="s">
        <v>109</v>
      </c>
      <c r="D69" s="2921" t="s">
        <v>3630</v>
      </c>
      <c r="E69" s="110" t="s">
        <v>3631</v>
      </c>
      <c r="F69" s="110"/>
      <c r="G69" s="1278"/>
      <c r="H69" s="128">
        <f>H70</f>
        <v>0</v>
      </c>
      <c r="I69" s="92"/>
      <c r="J69" s="92"/>
      <c r="K69" s="128"/>
      <c r="L69" s="1729">
        <f>SUM(L70)</f>
        <v>1</v>
      </c>
      <c r="M69" s="76">
        <f>M70</f>
        <v>0</v>
      </c>
      <c r="N69" s="1726">
        <f>N70</f>
        <v>0</v>
      </c>
      <c r="O69" s="3246">
        <f>IF(Q69&gt;0,N69,"na")</f>
        <v>0</v>
      </c>
      <c r="P69" s="97">
        <f>SUM(P70)</f>
        <v>193610440</v>
      </c>
      <c r="Q69" s="97">
        <f t="shared" ref="Q69:S69" si="26">SUM(Q70)</f>
        <v>193610440</v>
      </c>
      <c r="R69" s="97">
        <f t="shared" si="26"/>
        <v>184390895</v>
      </c>
      <c r="S69" s="97">
        <f t="shared" si="26"/>
        <v>0</v>
      </c>
      <c r="T69" s="1727">
        <f t="shared" si="11"/>
        <v>0.95238095115118793</v>
      </c>
      <c r="U69" s="1727">
        <f t="shared" si="11"/>
        <v>0</v>
      </c>
      <c r="V69" s="71"/>
      <c r="W69" s="71"/>
      <c r="X69" s="71"/>
      <c r="Y69" s="1225"/>
    </row>
    <row r="70" spans="1:25" ht="148.5" customHeight="1">
      <c r="A70" s="2970"/>
      <c r="B70" s="605"/>
      <c r="C70" s="3205"/>
      <c r="D70" s="3245"/>
      <c r="E70" s="110" t="s">
        <v>3632</v>
      </c>
      <c r="F70" s="110"/>
      <c r="G70" s="1278" t="s">
        <v>3591</v>
      </c>
      <c r="H70" s="89">
        <f>M70</f>
        <v>0</v>
      </c>
      <c r="I70" s="92" t="s">
        <v>3633</v>
      </c>
      <c r="J70" s="92" t="s">
        <v>3593</v>
      </c>
      <c r="K70" s="128">
        <v>260</v>
      </c>
      <c r="L70" s="1729">
        <v>1</v>
      </c>
      <c r="M70" s="216">
        <v>0</v>
      </c>
      <c r="N70" s="1729">
        <f>(M70/K70)*L70</f>
        <v>0</v>
      </c>
      <c r="O70" s="3247"/>
      <c r="P70" s="97">
        <v>193610440</v>
      </c>
      <c r="Q70" s="216">
        <v>193610440</v>
      </c>
      <c r="R70" s="216">
        <v>184390895</v>
      </c>
      <c r="S70" s="216">
        <v>0</v>
      </c>
      <c r="T70" s="1730">
        <f t="shared" si="11"/>
        <v>0.95238095115118793</v>
      </c>
      <c r="U70" s="1730">
        <f t="shared" si="11"/>
        <v>0</v>
      </c>
      <c r="V70" s="1731">
        <v>45469</v>
      </c>
      <c r="W70" s="1731">
        <v>45657</v>
      </c>
      <c r="X70" s="92" t="s">
        <v>5482</v>
      </c>
      <c r="Y70" s="1225" t="s">
        <v>3532</v>
      </c>
    </row>
    <row r="71" spans="1:25" ht="16.5" customHeight="1">
      <c r="A71" s="2853">
        <v>4162</v>
      </c>
      <c r="B71" s="605"/>
      <c r="C71" s="2995" t="s">
        <v>109</v>
      </c>
      <c r="D71" s="2921" t="s">
        <v>3634</v>
      </c>
      <c r="E71" s="110" t="s">
        <v>3635</v>
      </c>
      <c r="F71" s="110"/>
      <c r="G71" s="1278"/>
      <c r="H71" s="128">
        <f>H72</f>
        <v>0</v>
      </c>
      <c r="I71" s="92"/>
      <c r="J71" s="92"/>
      <c r="K71" s="128"/>
      <c r="L71" s="1729">
        <f>SUM(L72)</f>
        <v>1</v>
      </c>
      <c r="M71" s="76">
        <f>M72</f>
        <v>0</v>
      </c>
      <c r="N71" s="1726">
        <f>N72</f>
        <v>0</v>
      </c>
      <c r="O71" s="3246">
        <f>IF(Q71&gt;0,N71,"na")</f>
        <v>0</v>
      </c>
      <c r="P71" s="97">
        <f>SUM(P72)</f>
        <v>510271747</v>
      </c>
      <c r="Q71" s="97">
        <f t="shared" ref="Q71:S71" si="27">SUM(Q72)</f>
        <v>510271747</v>
      </c>
      <c r="R71" s="97">
        <f t="shared" si="27"/>
        <v>485973092</v>
      </c>
      <c r="S71" s="97">
        <f t="shared" si="27"/>
        <v>0</v>
      </c>
      <c r="T71" s="1727">
        <f t="shared" si="11"/>
        <v>0.95238095163438474</v>
      </c>
      <c r="U71" s="1727">
        <f t="shared" si="11"/>
        <v>0</v>
      </c>
      <c r="V71" s="71"/>
      <c r="W71" s="71"/>
      <c r="X71" s="71"/>
      <c r="Y71" s="1225"/>
    </row>
    <row r="72" spans="1:25" ht="148.5" customHeight="1">
      <c r="A72" s="2970"/>
      <c r="B72" s="605"/>
      <c r="C72" s="3205"/>
      <c r="D72" s="3245"/>
      <c r="E72" s="110" t="s">
        <v>3636</v>
      </c>
      <c r="F72" s="110"/>
      <c r="G72" s="1278" t="s">
        <v>3591</v>
      </c>
      <c r="H72" s="89">
        <f>M72</f>
        <v>0</v>
      </c>
      <c r="I72" s="92" t="s">
        <v>3625</v>
      </c>
      <c r="J72" s="92" t="s">
        <v>3593</v>
      </c>
      <c r="K72" s="128">
        <v>1200</v>
      </c>
      <c r="L72" s="1729">
        <v>1</v>
      </c>
      <c r="M72" s="216">
        <v>0</v>
      </c>
      <c r="N72" s="1729">
        <f>(M72/K72)*L72</f>
        <v>0</v>
      </c>
      <c r="O72" s="3247"/>
      <c r="P72" s="97">
        <v>510271747</v>
      </c>
      <c r="Q72" s="216">
        <v>510271747</v>
      </c>
      <c r="R72" s="216">
        <v>485973092</v>
      </c>
      <c r="S72" s="216">
        <v>0</v>
      </c>
      <c r="T72" s="1730">
        <f t="shared" si="11"/>
        <v>0.95238095163438474</v>
      </c>
      <c r="U72" s="1730">
        <f t="shared" si="11"/>
        <v>0</v>
      </c>
      <c r="V72" s="1731">
        <v>45469</v>
      </c>
      <c r="W72" s="1731">
        <v>45657</v>
      </c>
      <c r="X72" s="92" t="s">
        <v>5482</v>
      </c>
      <c r="Y72" s="1225" t="s">
        <v>3532</v>
      </c>
    </row>
    <row r="73" spans="1:25" ht="16.5" customHeight="1">
      <c r="A73" s="2853">
        <v>4162</v>
      </c>
      <c r="B73" s="605"/>
      <c r="C73" s="2995" t="s">
        <v>109</v>
      </c>
      <c r="D73" s="2921" t="s">
        <v>3637</v>
      </c>
      <c r="E73" s="110" t="s">
        <v>3638</v>
      </c>
      <c r="F73" s="110"/>
      <c r="G73" s="1278"/>
      <c r="H73" s="128">
        <f>H74</f>
        <v>0</v>
      </c>
      <c r="I73" s="92"/>
      <c r="J73" s="92"/>
      <c r="K73" s="128"/>
      <c r="L73" s="1729">
        <f>SUM(L74)</f>
        <v>1</v>
      </c>
      <c r="M73" s="76">
        <f>M74</f>
        <v>0</v>
      </c>
      <c r="N73" s="1726">
        <f>N74</f>
        <v>0</v>
      </c>
      <c r="O73" s="3246">
        <f>IF(Q73&gt;0,N73,"na")</f>
        <v>0</v>
      </c>
      <c r="P73" s="97">
        <f>SUM(P74)</f>
        <v>294997884</v>
      </c>
      <c r="Q73" s="97">
        <f t="shared" ref="Q73:S73" si="28">SUM(Q74)</f>
        <v>294997884</v>
      </c>
      <c r="R73" s="97">
        <f t="shared" si="28"/>
        <v>280950366</v>
      </c>
      <c r="S73" s="97">
        <f t="shared" si="28"/>
        <v>0</v>
      </c>
      <c r="T73" s="1727">
        <f t="shared" si="11"/>
        <v>0.95238095334948236</v>
      </c>
      <c r="U73" s="1727">
        <f t="shared" si="11"/>
        <v>0</v>
      </c>
      <c r="V73" s="71"/>
      <c r="W73" s="71"/>
      <c r="X73" s="71"/>
      <c r="Y73" s="1225"/>
    </row>
    <row r="74" spans="1:25" ht="148.5" customHeight="1">
      <c r="A74" s="2970"/>
      <c r="B74" s="605"/>
      <c r="C74" s="3205"/>
      <c r="D74" s="3245"/>
      <c r="E74" s="110" t="s">
        <v>3639</v>
      </c>
      <c r="F74" s="110"/>
      <c r="G74" s="1278" t="s">
        <v>3591</v>
      </c>
      <c r="H74" s="89">
        <f>M74</f>
        <v>0</v>
      </c>
      <c r="I74" s="92" t="s">
        <v>3640</v>
      </c>
      <c r="J74" s="92" t="s">
        <v>3593</v>
      </c>
      <c r="K74" s="128">
        <v>370</v>
      </c>
      <c r="L74" s="1729">
        <v>1</v>
      </c>
      <c r="M74" s="216">
        <v>0</v>
      </c>
      <c r="N74" s="1729">
        <f>(M74/K74)*L74</f>
        <v>0</v>
      </c>
      <c r="O74" s="3247"/>
      <c r="P74" s="97">
        <v>294997884</v>
      </c>
      <c r="Q74" s="216">
        <v>294997884</v>
      </c>
      <c r="R74" s="216">
        <v>280950366</v>
      </c>
      <c r="S74" s="216">
        <v>0</v>
      </c>
      <c r="T74" s="1730">
        <f t="shared" si="11"/>
        <v>0.95238095334948236</v>
      </c>
      <c r="U74" s="1730">
        <f t="shared" si="11"/>
        <v>0</v>
      </c>
      <c r="V74" s="1731">
        <v>45469</v>
      </c>
      <c r="W74" s="1731">
        <v>45657</v>
      </c>
      <c r="X74" s="92" t="s">
        <v>5482</v>
      </c>
      <c r="Y74" s="1225" t="s">
        <v>3532</v>
      </c>
    </row>
    <row r="75" spans="1:25" ht="16.5" customHeight="1">
      <c r="A75" s="2853">
        <v>4162</v>
      </c>
      <c r="B75" s="605"/>
      <c r="C75" s="2995" t="s">
        <v>109</v>
      </c>
      <c r="D75" s="2921" t="s">
        <v>3641</v>
      </c>
      <c r="E75" s="110" t="s">
        <v>3642</v>
      </c>
      <c r="F75" s="110"/>
      <c r="G75" s="1278"/>
      <c r="H75" s="128">
        <f>H76</f>
        <v>0</v>
      </c>
      <c r="I75" s="92"/>
      <c r="J75" s="92"/>
      <c r="K75" s="128"/>
      <c r="L75" s="1729">
        <f>SUM(L76)</f>
        <v>1</v>
      </c>
      <c r="M75" s="76">
        <f>M76</f>
        <v>0</v>
      </c>
      <c r="N75" s="1726">
        <f>N76</f>
        <v>0</v>
      </c>
      <c r="O75" s="3246">
        <f>IF(Q75&gt;0,N75,"na")</f>
        <v>0</v>
      </c>
      <c r="P75" s="97">
        <f>SUM(P76)</f>
        <v>288803898</v>
      </c>
      <c r="Q75" s="97">
        <f t="shared" ref="Q75:S75" si="29">SUM(Q76)</f>
        <v>288803898</v>
      </c>
      <c r="R75" s="97">
        <f t="shared" si="29"/>
        <v>275051331</v>
      </c>
      <c r="S75" s="97">
        <f t="shared" si="29"/>
        <v>0</v>
      </c>
      <c r="T75" s="1727">
        <f t="shared" si="11"/>
        <v>0.95238095089699937</v>
      </c>
      <c r="U75" s="1727">
        <f t="shared" si="11"/>
        <v>0</v>
      </c>
      <c r="V75" s="71"/>
      <c r="W75" s="71"/>
      <c r="X75" s="71"/>
      <c r="Y75" s="1225"/>
    </row>
    <row r="76" spans="1:25" ht="148.5" customHeight="1">
      <c r="A76" s="2970"/>
      <c r="B76" s="605"/>
      <c r="C76" s="3205"/>
      <c r="D76" s="3245"/>
      <c r="E76" s="110" t="s">
        <v>3643</v>
      </c>
      <c r="F76" s="110"/>
      <c r="G76" s="1278" t="s">
        <v>3591</v>
      </c>
      <c r="H76" s="89">
        <f>M76</f>
        <v>0</v>
      </c>
      <c r="I76" s="92" t="s">
        <v>3644</v>
      </c>
      <c r="J76" s="92" t="s">
        <v>3593</v>
      </c>
      <c r="K76" s="128">
        <v>690</v>
      </c>
      <c r="L76" s="1729">
        <v>1</v>
      </c>
      <c r="M76" s="216">
        <v>0</v>
      </c>
      <c r="N76" s="1729">
        <f>(M76/K76)*L76</f>
        <v>0</v>
      </c>
      <c r="O76" s="3247"/>
      <c r="P76" s="97">
        <v>288803898</v>
      </c>
      <c r="Q76" s="216">
        <v>288803898</v>
      </c>
      <c r="R76" s="216">
        <v>275051331</v>
      </c>
      <c r="S76" s="216">
        <v>0</v>
      </c>
      <c r="T76" s="1730">
        <f t="shared" si="11"/>
        <v>0.95238095089699937</v>
      </c>
      <c r="U76" s="1730">
        <f t="shared" si="11"/>
        <v>0</v>
      </c>
      <c r="V76" s="1731">
        <v>45469</v>
      </c>
      <c r="W76" s="1731">
        <v>45657</v>
      </c>
      <c r="X76" s="92" t="s">
        <v>5482</v>
      </c>
      <c r="Y76" s="1225" t="s">
        <v>3532</v>
      </c>
    </row>
    <row r="77" spans="1:25" ht="16.5" customHeight="1">
      <c r="A77" s="2853">
        <v>4162</v>
      </c>
      <c r="B77" s="605"/>
      <c r="C77" s="2995" t="s">
        <v>109</v>
      </c>
      <c r="D77" s="2921" t="s">
        <v>3645</v>
      </c>
      <c r="E77" s="110" t="s">
        <v>3646</v>
      </c>
      <c r="F77" s="110"/>
      <c r="G77" s="1278"/>
      <c r="H77" s="128">
        <f>H78</f>
        <v>0</v>
      </c>
      <c r="I77" s="92"/>
      <c r="J77" s="92"/>
      <c r="K77" s="128"/>
      <c r="L77" s="1729">
        <f>SUM(L78)</f>
        <v>1</v>
      </c>
      <c r="M77" s="76">
        <f>M78</f>
        <v>0</v>
      </c>
      <c r="N77" s="1726">
        <f>N78</f>
        <v>0</v>
      </c>
      <c r="O77" s="3246">
        <f>IF(Q77&gt;0,N77,"na")</f>
        <v>0</v>
      </c>
      <c r="P77" s="97">
        <f>SUM(P78)</f>
        <v>348476123</v>
      </c>
      <c r="Q77" s="97">
        <f t="shared" ref="Q77:S77" si="30">SUM(Q78)</f>
        <v>348476123</v>
      </c>
      <c r="R77" s="97">
        <f t="shared" si="30"/>
        <v>331882022</v>
      </c>
      <c r="S77" s="97">
        <f t="shared" si="30"/>
        <v>0</v>
      </c>
      <c r="T77" s="1727">
        <f t="shared" si="11"/>
        <v>0.95238095265425116</v>
      </c>
      <c r="U77" s="1727">
        <f t="shared" si="11"/>
        <v>0</v>
      </c>
      <c r="V77" s="71"/>
      <c r="W77" s="71"/>
      <c r="X77" s="71"/>
      <c r="Y77" s="1225"/>
    </row>
    <row r="78" spans="1:25" ht="148.5" customHeight="1">
      <c r="A78" s="2970"/>
      <c r="B78" s="605"/>
      <c r="C78" s="3205"/>
      <c r="D78" s="3245"/>
      <c r="E78" s="110" t="s">
        <v>3647</v>
      </c>
      <c r="F78" s="110"/>
      <c r="G78" s="1278" t="s">
        <v>3591</v>
      </c>
      <c r="H78" s="89">
        <f>M78</f>
        <v>0</v>
      </c>
      <c r="I78" s="92" t="s">
        <v>3648</v>
      </c>
      <c r="J78" s="92" t="s">
        <v>3593</v>
      </c>
      <c r="K78" s="128">
        <v>540</v>
      </c>
      <c r="L78" s="1729">
        <v>1</v>
      </c>
      <c r="M78" s="216">
        <v>0</v>
      </c>
      <c r="N78" s="1729">
        <f>(M78/K78)*L78</f>
        <v>0</v>
      </c>
      <c r="O78" s="3247"/>
      <c r="P78" s="97">
        <v>348476123</v>
      </c>
      <c r="Q78" s="216">
        <v>348476123</v>
      </c>
      <c r="R78" s="216">
        <v>331882022</v>
      </c>
      <c r="S78" s="216">
        <v>0</v>
      </c>
      <c r="T78" s="1730">
        <f t="shared" si="11"/>
        <v>0.95238095265425116</v>
      </c>
      <c r="U78" s="1730">
        <f t="shared" si="11"/>
        <v>0</v>
      </c>
      <c r="V78" s="1731">
        <v>45469</v>
      </c>
      <c r="W78" s="1731">
        <v>45657</v>
      </c>
      <c r="X78" s="92" t="s">
        <v>5482</v>
      </c>
      <c r="Y78" s="1225" t="s">
        <v>3532</v>
      </c>
    </row>
    <row r="79" spans="1:25" ht="16.5" customHeight="1">
      <c r="A79" s="2853">
        <v>4162</v>
      </c>
      <c r="B79" s="605"/>
      <c r="C79" s="2995" t="s">
        <v>109</v>
      </c>
      <c r="D79" s="2921" t="s">
        <v>3649</v>
      </c>
      <c r="E79" s="110" t="s">
        <v>3650</v>
      </c>
      <c r="F79" s="110"/>
      <c r="G79" s="1278"/>
      <c r="H79" s="128">
        <f>H80</f>
        <v>0</v>
      </c>
      <c r="I79" s="92"/>
      <c r="J79" s="92"/>
      <c r="K79" s="128"/>
      <c r="L79" s="1729">
        <f>SUM(L80)</f>
        <v>1</v>
      </c>
      <c r="M79" s="76">
        <f>M80</f>
        <v>0</v>
      </c>
      <c r="N79" s="1726">
        <f>N80</f>
        <v>0</v>
      </c>
      <c r="O79" s="3246">
        <f>IF(Q79&gt;0,N79,"na")</f>
        <v>0</v>
      </c>
      <c r="P79" s="97">
        <f>SUM(P80)</f>
        <v>197247969</v>
      </c>
      <c r="Q79" s="97">
        <f t="shared" ref="Q79:S79" si="31">SUM(Q80)</f>
        <v>197247969</v>
      </c>
      <c r="R79" s="97">
        <f t="shared" si="31"/>
        <v>187855209</v>
      </c>
      <c r="S79" s="97">
        <f t="shared" si="31"/>
        <v>0</v>
      </c>
      <c r="T79" s="1727">
        <f t="shared" si="11"/>
        <v>0.95238095455370697</v>
      </c>
      <c r="U79" s="1727">
        <f t="shared" si="11"/>
        <v>0</v>
      </c>
      <c r="V79" s="71"/>
      <c r="W79" s="71"/>
      <c r="X79" s="71"/>
      <c r="Y79" s="1225"/>
    </row>
    <row r="80" spans="1:25" ht="148.5" customHeight="1">
      <c r="A80" s="2970"/>
      <c r="B80" s="605"/>
      <c r="C80" s="3205"/>
      <c r="D80" s="3245"/>
      <c r="E80" s="110" t="s">
        <v>3651</v>
      </c>
      <c r="F80" s="110"/>
      <c r="G80" s="1278" t="s">
        <v>3591</v>
      </c>
      <c r="H80" s="89">
        <f>M80</f>
        <v>0</v>
      </c>
      <c r="I80" s="92" t="s">
        <v>3601</v>
      </c>
      <c r="J80" s="92" t="s">
        <v>3593</v>
      </c>
      <c r="K80" s="128">
        <v>680</v>
      </c>
      <c r="L80" s="1729">
        <v>1</v>
      </c>
      <c r="M80" s="216">
        <v>0</v>
      </c>
      <c r="N80" s="1729">
        <f>(M80/K80)*L80</f>
        <v>0</v>
      </c>
      <c r="O80" s="3247"/>
      <c r="P80" s="97">
        <v>197247969</v>
      </c>
      <c r="Q80" s="216">
        <v>197247969</v>
      </c>
      <c r="R80" s="216">
        <v>187855209</v>
      </c>
      <c r="S80" s="216">
        <v>0</v>
      </c>
      <c r="T80" s="1730">
        <f t="shared" si="11"/>
        <v>0.95238095455370697</v>
      </c>
      <c r="U80" s="1730">
        <f t="shared" si="11"/>
        <v>0</v>
      </c>
      <c r="V80" s="1731">
        <v>45469</v>
      </c>
      <c r="W80" s="1731">
        <v>45657</v>
      </c>
      <c r="X80" s="92" t="s">
        <v>5482</v>
      </c>
      <c r="Y80" s="1225" t="s">
        <v>3532</v>
      </c>
    </row>
    <row r="81" spans="1:25" ht="16.5" customHeight="1">
      <c r="A81" s="2853">
        <v>4162</v>
      </c>
      <c r="B81" s="605"/>
      <c r="C81" s="2995" t="s">
        <v>109</v>
      </c>
      <c r="D81" s="2921" t="s">
        <v>3652</v>
      </c>
      <c r="E81" s="110" t="s">
        <v>3653</v>
      </c>
      <c r="F81" s="110"/>
      <c r="G81" s="1278"/>
      <c r="H81" s="128">
        <f>H82</f>
        <v>0</v>
      </c>
      <c r="I81" s="92"/>
      <c r="J81" s="92"/>
      <c r="K81" s="128"/>
      <c r="L81" s="1729">
        <f>SUM(L82)</f>
        <v>1</v>
      </c>
      <c r="M81" s="76">
        <f>M82</f>
        <v>0</v>
      </c>
      <c r="N81" s="1726">
        <f>N82</f>
        <v>0</v>
      </c>
      <c r="O81" s="3246">
        <f>IF(Q81&gt;0,N81,"na")</f>
        <v>0</v>
      </c>
      <c r="P81" s="97">
        <f>SUM(P82)</f>
        <v>644795082</v>
      </c>
      <c r="Q81" s="97">
        <f t="shared" ref="Q81:S81" si="32">SUM(Q82)</f>
        <v>644795082</v>
      </c>
      <c r="R81" s="97">
        <f t="shared" si="32"/>
        <v>631842554</v>
      </c>
      <c r="S81" s="97">
        <f t="shared" si="32"/>
        <v>0</v>
      </c>
      <c r="T81" s="1727">
        <f t="shared" si="11"/>
        <v>0.9799121792929556</v>
      </c>
      <c r="U81" s="1727">
        <f t="shared" si="11"/>
        <v>0</v>
      </c>
      <c r="V81" s="71"/>
      <c r="W81" s="71"/>
      <c r="X81" s="71"/>
      <c r="Y81" s="1225"/>
    </row>
    <row r="82" spans="1:25" ht="148.5" customHeight="1">
      <c r="A82" s="2970"/>
      <c r="B82" s="605"/>
      <c r="C82" s="3205"/>
      <c r="D82" s="3245"/>
      <c r="E82" s="110" t="s">
        <v>3654</v>
      </c>
      <c r="F82" s="110"/>
      <c r="G82" s="1278" t="s">
        <v>3591</v>
      </c>
      <c r="H82" s="89">
        <f>M82</f>
        <v>0</v>
      </c>
      <c r="I82" s="92" t="s">
        <v>3655</v>
      </c>
      <c r="J82" s="92" t="s">
        <v>3593</v>
      </c>
      <c r="K82" s="128">
        <v>5400</v>
      </c>
      <c r="L82" s="1729">
        <v>1</v>
      </c>
      <c r="M82" s="216">
        <v>0</v>
      </c>
      <c r="N82" s="1729">
        <f>(M82/K82)*L82</f>
        <v>0</v>
      </c>
      <c r="O82" s="3247"/>
      <c r="P82" s="97">
        <v>644795082</v>
      </c>
      <c r="Q82" s="216">
        <v>644795082</v>
      </c>
      <c r="R82" s="216">
        <v>631842554</v>
      </c>
      <c r="S82" s="216">
        <v>0</v>
      </c>
      <c r="T82" s="1730">
        <f t="shared" si="11"/>
        <v>0.9799121792929556</v>
      </c>
      <c r="U82" s="1730">
        <f t="shared" si="11"/>
        <v>0</v>
      </c>
      <c r="V82" s="1731">
        <v>45469</v>
      </c>
      <c r="W82" s="1731">
        <v>45657</v>
      </c>
      <c r="X82" s="92" t="s">
        <v>5482</v>
      </c>
      <c r="Y82" s="1225" t="s">
        <v>3532</v>
      </c>
    </row>
    <row r="83" spans="1:25">
      <c r="A83" s="71"/>
      <c r="B83" s="112">
        <v>52020020010</v>
      </c>
      <c r="C83" s="112" t="s">
        <v>103</v>
      </c>
      <c r="D83" s="71" t="s">
        <v>3656</v>
      </c>
      <c r="E83" s="101"/>
      <c r="F83" s="71"/>
      <c r="G83" s="71"/>
      <c r="H83" s="111">
        <f>H85</f>
        <v>17</v>
      </c>
      <c r="I83" s="71"/>
      <c r="J83" s="71"/>
      <c r="K83" s="111"/>
      <c r="L83" s="1726"/>
      <c r="M83" s="71"/>
      <c r="N83" s="1726"/>
      <c r="O83" s="1727"/>
      <c r="P83" s="1732"/>
      <c r="Q83" s="76"/>
      <c r="R83" s="76"/>
      <c r="S83" s="76"/>
      <c r="T83" s="1727"/>
      <c r="U83" s="1727"/>
      <c r="V83" s="71"/>
      <c r="W83" s="71"/>
      <c r="X83" s="71"/>
      <c r="Y83" s="111"/>
    </row>
    <row r="84" spans="1:25" ht="16.5" customHeight="1">
      <c r="A84" s="2853">
        <v>4162</v>
      </c>
      <c r="B84" s="605"/>
      <c r="C84" s="2995" t="s">
        <v>109</v>
      </c>
      <c r="D84" s="2921" t="s">
        <v>3657</v>
      </c>
      <c r="E84" s="110" t="s">
        <v>3658</v>
      </c>
      <c r="F84" s="92"/>
      <c r="G84" s="92"/>
      <c r="H84" s="128"/>
      <c r="I84" s="92"/>
      <c r="J84" s="92"/>
      <c r="K84" s="128"/>
      <c r="L84" s="1729">
        <f>SUM(L85:L87)</f>
        <v>1</v>
      </c>
      <c r="M84" s="76">
        <f>SUM(M85:M87)</f>
        <v>4140</v>
      </c>
      <c r="N84" s="1726">
        <f>SUM(N85:N87)</f>
        <v>0.41359157894736842</v>
      </c>
      <c r="O84" s="3246">
        <f>IF(Q84&gt;0,N84,"na")</f>
        <v>0.41359157894736842</v>
      </c>
      <c r="P84" s="97">
        <f>SUM(P85:P87)</f>
        <v>12799908000</v>
      </c>
      <c r="Q84" s="97">
        <f t="shared" ref="Q84:S84" si="33">SUM(Q85:Q87)</f>
        <v>24143582252</v>
      </c>
      <c r="R84" s="97">
        <f t="shared" si="33"/>
        <v>10247835458</v>
      </c>
      <c r="S84" s="97">
        <f t="shared" si="33"/>
        <v>3534409649</v>
      </c>
      <c r="T84" s="1727">
        <f t="shared" si="11"/>
        <v>0.42445380934103483</v>
      </c>
      <c r="U84" s="1727">
        <f t="shared" si="11"/>
        <v>0.34489328634183464</v>
      </c>
      <c r="V84" s="71"/>
      <c r="W84" s="71"/>
      <c r="X84" s="71"/>
      <c r="Y84" s="128"/>
    </row>
    <row r="85" spans="1:25" ht="94.5">
      <c r="A85" s="2969"/>
      <c r="B85" s="605"/>
      <c r="C85" s="3204"/>
      <c r="D85" s="3248"/>
      <c r="E85" s="110" t="s">
        <v>3659</v>
      </c>
      <c r="F85" s="92"/>
      <c r="G85" s="92" t="s">
        <v>3656</v>
      </c>
      <c r="H85" s="89">
        <f>M85</f>
        <v>17</v>
      </c>
      <c r="I85" s="92" t="s">
        <v>3660</v>
      </c>
      <c r="J85" s="92" t="s">
        <v>3530</v>
      </c>
      <c r="K85" s="128">
        <v>38</v>
      </c>
      <c r="L85" s="1729">
        <v>0.52</v>
      </c>
      <c r="M85" s="216">
        <v>17</v>
      </c>
      <c r="N85" s="1729">
        <f>(M85/K85)*L85</f>
        <v>0.23263157894736844</v>
      </c>
      <c r="O85" s="3249"/>
      <c r="P85" s="97">
        <v>4125287600</v>
      </c>
      <c r="Q85" s="97">
        <v>12530087600</v>
      </c>
      <c r="R85" s="216">
        <v>5401146458</v>
      </c>
      <c r="S85" s="216">
        <v>2666605649</v>
      </c>
      <c r="T85" s="1730">
        <f t="shared" si="11"/>
        <v>0.43105416581445127</v>
      </c>
      <c r="U85" s="1730">
        <f t="shared" si="11"/>
        <v>0.49371104259731963</v>
      </c>
      <c r="V85" s="1731">
        <v>45324</v>
      </c>
      <c r="W85" s="1731">
        <v>45657</v>
      </c>
      <c r="X85" s="92" t="s">
        <v>5490</v>
      </c>
      <c r="Y85" s="2853" t="s">
        <v>3532</v>
      </c>
    </row>
    <row r="86" spans="1:25" ht="108" customHeight="1">
      <c r="A86" s="2969"/>
      <c r="B86" s="605"/>
      <c r="C86" s="3204"/>
      <c r="D86" s="3248"/>
      <c r="E86" s="110" t="s">
        <v>3661</v>
      </c>
      <c r="F86" s="92"/>
      <c r="G86" s="92"/>
      <c r="H86" s="128"/>
      <c r="I86" s="92" t="s">
        <v>3662</v>
      </c>
      <c r="J86" s="92" t="s">
        <v>3581</v>
      </c>
      <c r="K86" s="128">
        <v>10000</v>
      </c>
      <c r="L86" s="1729">
        <v>0.33</v>
      </c>
      <c r="M86" s="216">
        <v>4120</v>
      </c>
      <c r="N86" s="1729">
        <f>(M86/K86)*L86</f>
        <v>0.13596</v>
      </c>
      <c r="O86" s="3249"/>
      <c r="P86" s="97">
        <v>7388328800</v>
      </c>
      <c r="Q86" s="97">
        <v>7986633052</v>
      </c>
      <c r="R86" s="216">
        <v>4000205000</v>
      </c>
      <c r="S86" s="216">
        <v>811117000</v>
      </c>
      <c r="T86" s="1730">
        <f t="shared" si="11"/>
        <v>0.50086250037470736</v>
      </c>
      <c r="U86" s="1730">
        <f t="shared" si="11"/>
        <v>0.20276885809602258</v>
      </c>
      <c r="V86" s="1731">
        <v>45324</v>
      </c>
      <c r="W86" s="1731">
        <v>45657</v>
      </c>
      <c r="X86" s="92" t="s">
        <v>5491</v>
      </c>
      <c r="Y86" s="2969"/>
    </row>
    <row r="87" spans="1:25" ht="189">
      <c r="A87" s="2970"/>
      <c r="B87" s="605"/>
      <c r="C87" s="3205"/>
      <c r="D87" s="3245"/>
      <c r="E87" s="110" t="s">
        <v>3663</v>
      </c>
      <c r="F87" s="92"/>
      <c r="G87" s="92"/>
      <c r="H87" s="128"/>
      <c r="I87" s="92" t="s">
        <v>3664</v>
      </c>
      <c r="J87" s="92" t="s">
        <v>2510</v>
      </c>
      <c r="K87" s="128">
        <v>10</v>
      </c>
      <c r="L87" s="1729">
        <v>0.15</v>
      </c>
      <c r="M87" s="216">
        <v>3</v>
      </c>
      <c r="N87" s="1729">
        <f>(M87/K87)*L87</f>
        <v>4.4999999999999998E-2</v>
      </c>
      <c r="O87" s="3247"/>
      <c r="P87" s="97">
        <v>1286291600</v>
      </c>
      <c r="Q87" s="97">
        <v>3626861600</v>
      </c>
      <c r="R87" s="216">
        <v>846484000</v>
      </c>
      <c r="S87" s="216">
        <v>56687000</v>
      </c>
      <c r="T87" s="1730">
        <f t="shared" si="11"/>
        <v>0.23339296983375379</v>
      </c>
      <c r="U87" s="1730">
        <f t="shared" si="11"/>
        <v>6.696759773368427E-2</v>
      </c>
      <c r="V87" s="1731">
        <v>45384</v>
      </c>
      <c r="W87" s="1731">
        <v>45657</v>
      </c>
      <c r="X87" s="92" t="s">
        <v>5492</v>
      </c>
      <c r="Y87" s="2970"/>
    </row>
    <row r="88" spans="1:25">
      <c r="A88" s="93"/>
      <c r="B88" s="115">
        <v>5202004</v>
      </c>
      <c r="C88" s="115" t="s">
        <v>102</v>
      </c>
      <c r="D88" s="93" t="s">
        <v>2144</v>
      </c>
      <c r="E88" s="87"/>
      <c r="F88" s="93"/>
      <c r="G88" s="93"/>
      <c r="H88" s="129"/>
      <c r="I88" s="93"/>
      <c r="J88" s="93"/>
      <c r="K88" s="129"/>
      <c r="L88" s="1728"/>
      <c r="M88" s="268"/>
      <c r="N88" s="1721"/>
      <c r="O88" s="1738"/>
      <c r="P88" s="1737"/>
      <c r="Q88" s="76"/>
      <c r="R88" s="76"/>
      <c r="S88" s="76"/>
      <c r="T88" s="1727"/>
      <c r="U88" s="1727"/>
      <c r="V88" s="71"/>
      <c r="W88" s="71"/>
      <c r="X88" s="71"/>
      <c r="Y88" s="129"/>
    </row>
    <row r="89" spans="1:25" ht="25.5">
      <c r="A89" s="71"/>
      <c r="B89" s="112">
        <v>52020040007</v>
      </c>
      <c r="C89" s="112" t="s">
        <v>103</v>
      </c>
      <c r="D89" s="71" t="s">
        <v>3665</v>
      </c>
      <c r="E89" s="101"/>
      <c r="F89" s="71"/>
      <c r="G89" s="71"/>
      <c r="H89" s="111">
        <f>H91</f>
        <v>0</v>
      </c>
      <c r="I89" s="71"/>
      <c r="J89" s="71"/>
      <c r="K89" s="111"/>
      <c r="L89" s="1726"/>
      <c r="M89" s="76"/>
      <c r="N89" s="1726"/>
      <c r="O89" s="1735"/>
      <c r="P89" s="1732"/>
      <c r="Q89" s="76"/>
      <c r="R89" s="76"/>
      <c r="S89" s="76"/>
      <c r="T89" s="1727"/>
      <c r="U89" s="1727"/>
      <c r="V89" s="71"/>
      <c r="W89" s="71"/>
      <c r="X89" s="71"/>
      <c r="Y89" s="111"/>
    </row>
    <row r="90" spans="1:25" ht="16.5" customHeight="1">
      <c r="A90" s="2853">
        <v>4162</v>
      </c>
      <c r="B90" s="605"/>
      <c r="C90" s="2995" t="s">
        <v>109</v>
      </c>
      <c r="D90" s="2852" t="s">
        <v>3666</v>
      </c>
      <c r="E90" s="110" t="s">
        <v>3667</v>
      </c>
      <c r="F90" s="92"/>
      <c r="G90" s="92"/>
      <c r="H90" s="128"/>
      <c r="I90" s="92"/>
      <c r="J90" s="92"/>
      <c r="K90" s="128"/>
      <c r="L90" s="1729">
        <f>SUM(L91)</f>
        <v>1</v>
      </c>
      <c r="M90" s="76">
        <f>M91</f>
        <v>0</v>
      </c>
      <c r="N90" s="1726">
        <f>N91</f>
        <v>0</v>
      </c>
      <c r="O90" s="3246">
        <f>IF(Q90&gt;0,N90,"na")</f>
        <v>0</v>
      </c>
      <c r="P90" s="97">
        <f>SUM(P91)</f>
        <v>181413024</v>
      </c>
      <c r="Q90" s="97">
        <f t="shared" ref="Q90:S90" si="34">SUM(Q91)</f>
        <v>181413024</v>
      </c>
      <c r="R90" s="97">
        <f t="shared" si="34"/>
        <v>172774309</v>
      </c>
      <c r="S90" s="97">
        <f t="shared" si="34"/>
        <v>0</v>
      </c>
      <c r="T90" s="1727">
        <f t="shared" si="11"/>
        <v>0.9523809547433596</v>
      </c>
      <c r="U90" s="1727">
        <f t="shared" si="11"/>
        <v>0</v>
      </c>
      <c r="V90" s="71"/>
      <c r="W90" s="71"/>
      <c r="X90" s="71"/>
      <c r="Y90" s="128"/>
    </row>
    <row r="91" spans="1:25" ht="81" customHeight="1">
      <c r="A91" s="2970"/>
      <c r="B91" s="605"/>
      <c r="C91" s="3205"/>
      <c r="D91" s="3252"/>
      <c r="E91" s="110" t="s">
        <v>3668</v>
      </c>
      <c r="F91" s="92"/>
      <c r="G91" s="92" t="s">
        <v>3665</v>
      </c>
      <c r="H91" s="89">
        <f>M91</f>
        <v>0</v>
      </c>
      <c r="I91" s="92" t="s">
        <v>3669</v>
      </c>
      <c r="J91" s="92" t="s">
        <v>3581</v>
      </c>
      <c r="K91" s="128">
        <v>300</v>
      </c>
      <c r="L91" s="1729">
        <v>1</v>
      </c>
      <c r="M91" s="216">
        <v>0</v>
      </c>
      <c r="N91" s="1729">
        <f>(M91/K91)*L91</f>
        <v>0</v>
      </c>
      <c r="O91" s="3247"/>
      <c r="P91" s="97">
        <v>181413024</v>
      </c>
      <c r="Q91" s="97">
        <v>181413024</v>
      </c>
      <c r="R91" s="216">
        <v>172774309</v>
      </c>
      <c r="S91" s="216">
        <v>0</v>
      </c>
      <c r="T91" s="1730">
        <f t="shared" si="11"/>
        <v>0.9523809547433596</v>
      </c>
      <c r="U91" s="1730">
        <f t="shared" si="11"/>
        <v>0</v>
      </c>
      <c r="V91" s="1731">
        <v>45469</v>
      </c>
      <c r="W91" s="1731">
        <v>45657</v>
      </c>
      <c r="X91" s="92" t="s">
        <v>5482</v>
      </c>
      <c r="Y91" s="1225" t="s">
        <v>3532</v>
      </c>
    </row>
    <row r="92" spans="1:25">
      <c r="A92" s="93"/>
      <c r="B92" s="115">
        <v>5202009</v>
      </c>
      <c r="C92" s="115" t="s">
        <v>102</v>
      </c>
      <c r="D92" s="93" t="s">
        <v>3670</v>
      </c>
      <c r="E92" s="87"/>
      <c r="F92" s="93"/>
      <c r="G92" s="93"/>
      <c r="H92" s="129"/>
      <c r="I92" s="93"/>
      <c r="J92" s="93"/>
      <c r="K92" s="129"/>
      <c r="L92" s="1728"/>
      <c r="M92" s="76"/>
      <c r="N92" s="1726"/>
      <c r="O92" s="1735"/>
      <c r="P92" s="1737"/>
      <c r="Q92" s="76"/>
      <c r="R92" s="76"/>
      <c r="S92" s="76"/>
      <c r="T92" s="1727"/>
      <c r="U92" s="1727"/>
      <c r="V92" s="71"/>
      <c r="W92" s="71"/>
      <c r="X92" s="71"/>
      <c r="Y92" s="129"/>
    </row>
    <row r="93" spans="1:25" ht="25.5" customHeight="1">
      <c r="A93" s="71"/>
      <c r="B93" s="112">
        <v>52020090004</v>
      </c>
      <c r="C93" s="112" t="s">
        <v>103</v>
      </c>
      <c r="D93" s="71" t="s">
        <v>3671</v>
      </c>
      <c r="E93" s="101"/>
      <c r="F93" s="71"/>
      <c r="G93" s="71"/>
      <c r="H93" s="111">
        <f>H95</f>
        <v>216</v>
      </c>
      <c r="I93" s="71"/>
      <c r="J93" s="71"/>
      <c r="K93" s="111"/>
      <c r="L93" s="1726"/>
      <c r="M93" s="76"/>
      <c r="N93" s="1726"/>
      <c r="O93" s="1735"/>
      <c r="P93" s="1732"/>
      <c r="Q93" s="76"/>
      <c r="R93" s="76"/>
      <c r="S93" s="76"/>
      <c r="T93" s="1727"/>
      <c r="U93" s="1727"/>
      <c r="V93" s="71"/>
      <c r="W93" s="71"/>
      <c r="X93" s="71"/>
      <c r="Y93" s="111"/>
    </row>
    <row r="94" spans="1:25" ht="16.5" customHeight="1">
      <c r="A94" s="2853">
        <v>4162</v>
      </c>
      <c r="B94" s="605"/>
      <c r="C94" s="2995" t="s">
        <v>109</v>
      </c>
      <c r="D94" s="2852" t="s">
        <v>3672</v>
      </c>
      <c r="E94" s="110" t="s">
        <v>3673</v>
      </c>
      <c r="F94" s="92"/>
      <c r="G94" s="92"/>
      <c r="H94" s="128"/>
      <c r="I94" s="92"/>
      <c r="J94" s="92"/>
      <c r="K94" s="128"/>
      <c r="L94" s="1729">
        <f>SUM(L95:L96)</f>
        <v>1</v>
      </c>
      <c r="M94" s="76">
        <f>SUM(M95:M96)</f>
        <v>216</v>
      </c>
      <c r="N94" s="1726">
        <f>SUM(N95:N96)</f>
        <v>0.2341</v>
      </c>
      <c r="O94" s="3246">
        <f>IF(Q94&gt;0,N94,"na")</f>
        <v>0.2341</v>
      </c>
      <c r="P94" s="97">
        <f>SUM(P95:P96)</f>
        <v>1325560000</v>
      </c>
      <c r="Q94" s="97">
        <f t="shared" ref="Q94:S94" si="35">SUM(Q95:Q96)</f>
        <v>2293966813</v>
      </c>
      <c r="R94" s="97">
        <f t="shared" si="35"/>
        <v>672989000</v>
      </c>
      <c r="S94" s="97">
        <f t="shared" si="35"/>
        <v>293283000</v>
      </c>
      <c r="T94" s="1727">
        <f t="shared" ref="T94:U151" si="36">+IF(Q94=0,0,R94/Q94)</f>
        <v>0.29337346825862731</v>
      </c>
      <c r="U94" s="1727">
        <f t="shared" si="36"/>
        <v>0.43579166970039629</v>
      </c>
      <c r="V94" s="71"/>
      <c r="W94" s="71"/>
      <c r="X94" s="71"/>
      <c r="Y94" s="128"/>
    </row>
    <row r="95" spans="1:25" ht="121.5" customHeight="1">
      <c r="A95" s="2969"/>
      <c r="B95" s="605"/>
      <c r="C95" s="3204"/>
      <c r="D95" s="3253"/>
      <c r="E95" s="110" t="s">
        <v>3674</v>
      </c>
      <c r="F95" s="92"/>
      <c r="G95" s="92" t="s">
        <v>3671</v>
      </c>
      <c r="H95" s="89">
        <f>M95</f>
        <v>216</v>
      </c>
      <c r="I95" s="92" t="s">
        <v>3675</v>
      </c>
      <c r="J95" s="92" t="s">
        <v>3581</v>
      </c>
      <c r="K95" s="128">
        <v>800</v>
      </c>
      <c r="L95" s="1729">
        <v>0.83</v>
      </c>
      <c r="M95" s="216">
        <v>216</v>
      </c>
      <c r="N95" s="1729">
        <f>(M95/K95)*L95</f>
        <v>0.22409999999999999</v>
      </c>
      <c r="O95" s="3249"/>
      <c r="P95" s="97">
        <v>1068996720</v>
      </c>
      <c r="Q95" s="97">
        <v>1894739533</v>
      </c>
      <c r="R95" s="216">
        <v>545408000</v>
      </c>
      <c r="S95" s="216">
        <v>219159000</v>
      </c>
      <c r="T95" s="1730">
        <f t="shared" si="36"/>
        <v>0.28785381341383559</v>
      </c>
      <c r="U95" s="1730">
        <f t="shared" si="36"/>
        <v>0.40182578913400613</v>
      </c>
      <c r="V95" s="1731">
        <v>45324</v>
      </c>
      <c r="W95" s="1731">
        <v>45657</v>
      </c>
      <c r="X95" s="92" t="s">
        <v>5493</v>
      </c>
      <c r="Y95" s="2853" t="s">
        <v>3532</v>
      </c>
    </row>
    <row r="96" spans="1:25" ht="94.5" customHeight="1">
      <c r="A96" s="2970"/>
      <c r="B96" s="605"/>
      <c r="C96" s="3205"/>
      <c r="D96" s="3252"/>
      <c r="E96" s="110" t="s">
        <v>3676</v>
      </c>
      <c r="F96" s="92"/>
      <c r="G96" s="92"/>
      <c r="H96" s="128"/>
      <c r="I96" s="92" t="s">
        <v>3677</v>
      </c>
      <c r="J96" s="92" t="s">
        <v>3530</v>
      </c>
      <c r="K96" s="128">
        <v>1</v>
      </c>
      <c r="L96" s="1729">
        <v>0.17</v>
      </c>
      <c r="M96" s="216">
        <v>0</v>
      </c>
      <c r="N96" s="1729">
        <v>0.01</v>
      </c>
      <c r="O96" s="3247"/>
      <c r="P96" s="97">
        <v>256563280</v>
      </c>
      <c r="Q96" s="97">
        <v>399227280</v>
      </c>
      <c r="R96" s="216">
        <v>127581000</v>
      </c>
      <c r="S96" s="216">
        <v>74124000</v>
      </c>
      <c r="T96" s="1730">
        <f t="shared" si="36"/>
        <v>0.31956984502662245</v>
      </c>
      <c r="U96" s="1730">
        <f t="shared" si="36"/>
        <v>0.58099560279351936</v>
      </c>
      <c r="V96" s="1731">
        <v>45334</v>
      </c>
      <c r="W96" s="1731">
        <v>45657</v>
      </c>
      <c r="X96" s="92" t="s">
        <v>5494</v>
      </c>
      <c r="Y96" s="2970"/>
    </row>
    <row r="97" spans="1:25">
      <c r="A97" s="85"/>
      <c r="B97" s="114">
        <v>5203</v>
      </c>
      <c r="C97" s="130" t="s">
        <v>101</v>
      </c>
      <c r="D97" s="85" t="s">
        <v>149</v>
      </c>
      <c r="E97" s="83"/>
      <c r="F97" s="85"/>
      <c r="G97" s="85"/>
      <c r="H97" s="130"/>
      <c r="I97" s="85"/>
      <c r="J97" s="85"/>
      <c r="K97" s="130"/>
      <c r="L97" s="1725"/>
      <c r="M97" s="76"/>
      <c r="N97" s="1726"/>
      <c r="O97" s="1735"/>
      <c r="P97" s="1736"/>
      <c r="Q97" s="76"/>
      <c r="R97" s="76"/>
      <c r="S97" s="76"/>
      <c r="T97" s="1727"/>
      <c r="U97" s="1727"/>
      <c r="V97" s="71"/>
      <c r="W97" s="71"/>
      <c r="X97" s="71"/>
      <c r="Y97" s="130"/>
    </row>
    <row r="98" spans="1:25">
      <c r="A98" s="93"/>
      <c r="B98" s="115">
        <v>5203008</v>
      </c>
      <c r="C98" s="115" t="s">
        <v>102</v>
      </c>
      <c r="D98" s="93" t="s">
        <v>161</v>
      </c>
      <c r="E98" s="87"/>
      <c r="F98" s="93"/>
      <c r="G98" s="93"/>
      <c r="H98" s="129"/>
      <c r="I98" s="93"/>
      <c r="J98" s="93"/>
      <c r="K98" s="129"/>
      <c r="L98" s="1728"/>
      <c r="M98" s="76"/>
      <c r="N98" s="1726"/>
      <c r="O98" s="1735"/>
      <c r="P98" s="1737"/>
      <c r="Q98" s="76"/>
      <c r="R98" s="76"/>
      <c r="S98" s="76"/>
      <c r="T98" s="1727"/>
      <c r="U98" s="1727"/>
      <c r="V98" s="71"/>
      <c r="W98" s="71"/>
      <c r="X98" s="71"/>
      <c r="Y98" s="129"/>
    </row>
    <row r="99" spans="1:25" ht="25.5" customHeight="1">
      <c r="A99" s="71"/>
      <c r="B99" s="112">
        <v>52030080005</v>
      </c>
      <c r="C99" s="112" t="s">
        <v>103</v>
      </c>
      <c r="D99" s="71" t="s">
        <v>3678</v>
      </c>
      <c r="E99" s="101"/>
      <c r="F99" s="71"/>
      <c r="G99" s="71"/>
      <c r="H99" s="111">
        <f>H100+H103+H106+H109+H112+H114+H116+H118+H120+H122+H124+H126+H128+H130+H132</f>
        <v>0</v>
      </c>
      <c r="I99" s="71"/>
      <c r="J99" s="71"/>
      <c r="K99" s="111"/>
      <c r="L99" s="1726"/>
      <c r="M99" s="71"/>
      <c r="N99" s="1726"/>
      <c r="O99" s="1727"/>
      <c r="P99" s="1732"/>
      <c r="Q99" s="76"/>
      <c r="R99" s="76"/>
      <c r="S99" s="76"/>
      <c r="T99" s="1727"/>
      <c r="U99" s="1727"/>
      <c r="V99" s="71"/>
      <c r="W99" s="71"/>
      <c r="X99" s="71"/>
      <c r="Y99" s="111"/>
    </row>
    <row r="100" spans="1:25">
      <c r="A100" s="2853">
        <v>4162</v>
      </c>
      <c r="B100" s="605"/>
      <c r="C100" s="2995" t="s">
        <v>109</v>
      </c>
      <c r="D100" s="2921" t="s">
        <v>3679</v>
      </c>
      <c r="E100" s="110" t="s">
        <v>3680</v>
      </c>
      <c r="F100" s="92"/>
      <c r="G100" s="92"/>
      <c r="H100" s="128">
        <f>H101</f>
        <v>0</v>
      </c>
      <c r="I100" s="92"/>
      <c r="J100" s="92"/>
      <c r="K100" s="128"/>
      <c r="L100" s="1729">
        <f>SUM(L101:L102)</f>
        <v>1</v>
      </c>
      <c r="M100" s="76">
        <f>SUM(M101:M102)</f>
        <v>0</v>
      </c>
      <c r="N100" s="1726">
        <f>SUM(N101:N102)</f>
        <v>0.24000000000000002</v>
      </c>
      <c r="O100" s="3246">
        <f>IF(Q100&gt;0,N100,"na")</f>
        <v>0.24000000000000002</v>
      </c>
      <c r="P100" s="97">
        <f>SUM(P101:P102)</f>
        <v>950000000</v>
      </c>
      <c r="Q100" s="97">
        <f t="shared" ref="Q100:S100" si="37">SUM(Q101:Q102)</f>
        <v>2295874188</v>
      </c>
      <c r="R100" s="97">
        <f t="shared" si="37"/>
        <v>1452850860</v>
      </c>
      <c r="S100" s="97">
        <f t="shared" si="37"/>
        <v>41617125</v>
      </c>
      <c r="T100" s="1727">
        <f t="shared" si="36"/>
        <v>0.63280944034029096</v>
      </c>
      <c r="U100" s="1727">
        <f t="shared" si="36"/>
        <v>2.8645145999362936E-2</v>
      </c>
      <c r="V100" s="71"/>
      <c r="W100" s="71"/>
      <c r="X100" s="71"/>
      <c r="Y100" s="128"/>
    </row>
    <row r="101" spans="1:25" ht="81" customHeight="1">
      <c r="A101" s="2969"/>
      <c r="B101" s="605"/>
      <c r="C101" s="3204"/>
      <c r="D101" s="3248"/>
      <c r="E101" s="110" t="s">
        <v>3681</v>
      </c>
      <c r="F101" s="92"/>
      <c r="G101" s="2921" t="s">
        <v>3682</v>
      </c>
      <c r="H101" s="3251">
        <f>M101</f>
        <v>0</v>
      </c>
      <c r="I101" s="92" t="s">
        <v>3683</v>
      </c>
      <c r="J101" s="92" t="s">
        <v>3684</v>
      </c>
      <c r="K101" s="128">
        <v>1</v>
      </c>
      <c r="L101" s="1729">
        <v>0.84</v>
      </c>
      <c r="M101" s="216">
        <v>0</v>
      </c>
      <c r="N101" s="1729">
        <v>0.2</v>
      </c>
      <c r="O101" s="3249"/>
      <c r="P101" s="97">
        <v>579118175</v>
      </c>
      <c r="Q101" s="97">
        <v>1924992363</v>
      </c>
      <c r="R101" s="216">
        <v>1119738401</v>
      </c>
      <c r="S101" s="216">
        <v>0</v>
      </c>
      <c r="T101" s="1730">
        <f t="shared" si="36"/>
        <v>0.58168459393519167</v>
      </c>
      <c r="U101" s="1730">
        <f t="shared" si="36"/>
        <v>0</v>
      </c>
      <c r="V101" s="1731">
        <v>45022</v>
      </c>
      <c r="W101" s="1731">
        <v>45657</v>
      </c>
      <c r="X101" s="92" t="s">
        <v>5495</v>
      </c>
      <c r="Y101" s="2853" t="s">
        <v>3685</v>
      </c>
    </row>
    <row r="102" spans="1:25" ht="94.5" customHeight="1">
      <c r="A102" s="2970"/>
      <c r="B102" s="605"/>
      <c r="C102" s="3205"/>
      <c r="D102" s="3245"/>
      <c r="E102" s="110" t="s">
        <v>3686</v>
      </c>
      <c r="F102" s="92"/>
      <c r="G102" s="3245"/>
      <c r="H102" s="2970"/>
      <c r="I102" s="92" t="s">
        <v>3687</v>
      </c>
      <c r="J102" s="92" t="s">
        <v>3688</v>
      </c>
      <c r="K102" s="128">
        <v>1</v>
      </c>
      <c r="L102" s="1729">
        <v>0.16</v>
      </c>
      <c r="M102" s="216">
        <v>0</v>
      </c>
      <c r="N102" s="1729">
        <v>0.04</v>
      </c>
      <c r="O102" s="3247"/>
      <c r="P102" s="97">
        <v>370881825</v>
      </c>
      <c r="Q102" s="97">
        <v>370881825</v>
      </c>
      <c r="R102" s="216">
        <v>333112459</v>
      </c>
      <c r="S102" s="216">
        <v>41617125</v>
      </c>
      <c r="T102" s="1730">
        <f t="shared" si="36"/>
        <v>0.89816334084313787</v>
      </c>
      <c r="U102" s="1730">
        <f t="shared" si="36"/>
        <v>0.12493415924740299</v>
      </c>
      <c r="V102" s="1731">
        <v>45338</v>
      </c>
      <c r="W102" s="1731">
        <v>45657</v>
      </c>
      <c r="X102" s="92" t="s">
        <v>5496</v>
      </c>
      <c r="Y102" s="2970"/>
    </row>
    <row r="103" spans="1:25" ht="16.5" customHeight="1">
      <c r="A103" s="2853">
        <v>4162</v>
      </c>
      <c r="B103" s="605"/>
      <c r="C103" s="2995" t="s">
        <v>109</v>
      </c>
      <c r="D103" s="2921" t="s">
        <v>3689</v>
      </c>
      <c r="E103" s="110" t="s">
        <v>3690</v>
      </c>
      <c r="F103" s="92"/>
      <c r="G103" s="92"/>
      <c r="H103" s="128">
        <f>SUM(H104:H105)</f>
        <v>0</v>
      </c>
      <c r="I103" s="92"/>
      <c r="J103" s="92"/>
      <c r="K103" s="128"/>
      <c r="L103" s="1729">
        <f>SUM(L104:L105)</f>
        <v>1</v>
      </c>
      <c r="M103" s="76">
        <f>SUM(M104:M105)</f>
        <v>0</v>
      </c>
      <c r="N103" s="1726">
        <f>SUM(N104:N105)</f>
        <v>0.05</v>
      </c>
      <c r="O103" s="3246">
        <f>IF(Q103&gt;0,N103,"na")</f>
        <v>0.05</v>
      </c>
      <c r="P103" s="97">
        <f>SUM(P104:P105)</f>
        <v>7533301400</v>
      </c>
      <c r="Q103" s="97">
        <f t="shared" ref="Q103:S103" si="38">SUM(Q104:Q105)</f>
        <v>7533301400</v>
      </c>
      <c r="R103" s="97">
        <f t="shared" si="38"/>
        <v>3682171000</v>
      </c>
      <c r="S103" s="97">
        <f t="shared" si="38"/>
        <v>1595117000</v>
      </c>
      <c r="T103" s="1727">
        <f t="shared" si="36"/>
        <v>0.48878583299481421</v>
      </c>
      <c r="U103" s="1727">
        <f t="shared" si="36"/>
        <v>0.43320014198145607</v>
      </c>
      <c r="V103" s="71"/>
      <c r="W103" s="71"/>
      <c r="X103" s="71"/>
      <c r="Y103" s="1225"/>
    </row>
    <row r="104" spans="1:25" ht="94.5" customHeight="1">
      <c r="A104" s="2969"/>
      <c r="B104" s="605"/>
      <c r="C104" s="3204"/>
      <c r="D104" s="3248"/>
      <c r="E104" s="110" t="s">
        <v>3691</v>
      </c>
      <c r="F104" s="92"/>
      <c r="G104" s="2921" t="s">
        <v>3682</v>
      </c>
      <c r="H104" s="89">
        <f>M104</f>
        <v>0</v>
      </c>
      <c r="I104" s="92" t="s">
        <v>3692</v>
      </c>
      <c r="J104" s="92" t="s">
        <v>3693</v>
      </c>
      <c r="K104" s="128">
        <v>3</v>
      </c>
      <c r="L104" s="1729">
        <v>0.73</v>
      </c>
      <c r="M104" s="216">
        <v>0</v>
      </c>
      <c r="N104" s="1729">
        <v>0.05</v>
      </c>
      <c r="O104" s="3249"/>
      <c r="P104" s="97">
        <v>5535234480</v>
      </c>
      <c r="Q104" s="97">
        <v>5535234480</v>
      </c>
      <c r="R104" s="216">
        <v>3682171000</v>
      </c>
      <c r="S104" s="216">
        <v>1595117000</v>
      </c>
      <c r="T104" s="1730">
        <f t="shared" si="36"/>
        <v>0.66522403220757509</v>
      </c>
      <c r="U104" s="1730">
        <f t="shared" si="36"/>
        <v>0.43320014198145607</v>
      </c>
      <c r="V104" s="1731">
        <v>45317</v>
      </c>
      <c r="W104" s="1731">
        <v>45657</v>
      </c>
      <c r="X104" s="92" t="s">
        <v>5497</v>
      </c>
      <c r="Y104" s="2853" t="s">
        <v>3685</v>
      </c>
    </row>
    <row r="105" spans="1:25" ht="27">
      <c r="A105" s="2970"/>
      <c r="B105" s="605"/>
      <c r="C105" s="3205"/>
      <c r="D105" s="3245"/>
      <c r="E105" s="110" t="s">
        <v>3694</v>
      </c>
      <c r="F105" s="92"/>
      <c r="G105" s="3245"/>
      <c r="H105" s="89">
        <f>M105</f>
        <v>0</v>
      </c>
      <c r="I105" s="92" t="s">
        <v>3695</v>
      </c>
      <c r="J105" s="92" t="s">
        <v>3696</v>
      </c>
      <c r="K105" s="128">
        <v>1</v>
      </c>
      <c r="L105" s="1729">
        <v>0.27</v>
      </c>
      <c r="M105" s="216">
        <v>0</v>
      </c>
      <c r="N105" s="1729">
        <f>(M105/K105)*L105</f>
        <v>0</v>
      </c>
      <c r="O105" s="3247"/>
      <c r="P105" s="97">
        <v>1998066920</v>
      </c>
      <c r="Q105" s="97">
        <v>1998066920</v>
      </c>
      <c r="R105" s="216">
        <v>0</v>
      </c>
      <c r="S105" s="216">
        <v>0</v>
      </c>
      <c r="T105" s="1730">
        <f t="shared" si="36"/>
        <v>0</v>
      </c>
      <c r="U105" s="1730">
        <f t="shared" si="36"/>
        <v>0</v>
      </c>
      <c r="V105" s="92"/>
      <c r="W105" s="92"/>
      <c r="X105" s="92"/>
      <c r="Y105" s="2970"/>
    </row>
    <row r="106" spans="1:25" ht="16.5" customHeight="1">
      <c r="A106" s="2853">
        <v>4162</v>
      </c>
      <c r="B106" s="605"/>
      <c r="C106" s="2995" t="s">
        <v>109</v>
      </c>
      <c r="D106" s="2921" t="s">
        <v>3697</v>
      </c>
      <c r="E106" s="110" t="s">
        <v>3698</v>
      </c>
      <c r="F106" s="92"/>
      <c r="G106" s="92"/>
      <c r="H106" s="128">
        <f>SUM(H107:H108)</f>
        <v>0</v>
      </c>
      <c r="I106" s="92"/>
      <c r="J106" s="92"/>
      <c r="K106" s="128"/>
      <c r="L106" s="1729">
        <f>SUM(L107:L108)</f>
        <v>1</v>
      </c>
      <c r="M106" s="76">
        <f>SUM(M107:M108)</f>
        <v>0</v>
      </c>
      <c r="N106" s="1726">
        <f>SUM(N107:N108)</f>
        <v>0.05</v>
      </c>
      <c r="O106" s="3246">
        <f>IF(Q106&gt;0,N106,"na")</f>
        <v>0.05</v>
      </c>
      <c r="P106" s="97">
        <f>SUM(P107:P108)</f>
        <v>4485950931</v>
      </c>
      <c r="Q106" s="97">
        <f t="shared" ref="Q106:S106" si="39">SUM(Q107:Q108)</f>
        <v>5936791445</v>
      </c>
      <c r="R106" s="97">
        <f t="shared" si="39"/>
        <v>1233269788</v>
      </c>
      <c r="S106" s="97">
        <f t="shared" si="39"/>
        <v>948449283</v>
      </c>
      <c r="T106" s="1727">
        <f t="shared" si="36"/>
        <v>0.20773338585755222</v>
      </c>
      <c r="U106" s="1727">
        <f t="shared" si="36"/>
        <v>0.76905255624408442</v>
      </c>
      <c r="V106" s="71"/>
      <c r="W106" s="71"/>
      <c r="X106" s="71"/>
      <c r="Y106" s="1225"/>
    </row>
    <row r="107" spans="1:25" ht="108" customHeight="1">
      <c r="A107" s="2969"/>
      <c r="B107" s="605"/>
      <c r="C107" s="3204"/>
      <c r="D107" s="3248"/>
      <c r="E107" s="110" t="s">
        <v>3699</v>
      </c>
      <c r="F107" s="92"/>
      <c r="G107" s="2921" t="s">
        <v>3682</v>
      </c>
      <c r="H107" s="89">
        <f>M107</f>
        <v>0</v>
      </c>
      <c r="I107" s="92" t="s">
        <v>3700</v>
      </c>
      <c r="J107" s="92" t="s">
        <v>3701</v>
      </c>
      <c r="K107" s="128">
        <v>4</v>
      </c>
      <c r="L107" s="1729">
        <v>0.95</v>
      </c>
      <c r="M107" s="216">
        <v>0</v>
      </c>
      <c r="N107" s="1729">
        <v>0.05</v>
      </c>
      <c r="O107" s="3249"/>
      <c r="P107" s="97">
        <v>4269139900</v>
      </c>
      <c r="Q107" s="97">
        <v>5662224115</v>
      </c>
      <c r="R107" s="216">
        <v>1233269788</v>
      </c>
      <c r="S107" s="216">
        <v>948449283</v>
      </c>
      <c r="T107" s="1730">
        <f t="shared" si="36"/>
        <v>0.21780660089608622</v>
      </c>
      <c r="U107" s="1730">
        <f t="shared" si="36"/>
        <v>0.76905255624408442</v>
      </c>
      <c r="V107" s="1731">
        <v>45317</v>
      </c>
      <c r="W107" s="1731">
        <v>45657</v>
      </c>
      <c r="X107" s="92" t="s">
        <v>5498</v>
      </c>
      <c r="Y107" s="2853" t="s">
        <v>3685</v>
      </c>
    </row>
    <row r="108" spans="1:25" ht="54" customHeight="1">
      <c r="A108" s="2970"/>
      <c r="B108" s="605"/>
      <c r="C108" s="3205"/>
      <c r="D108" s="3245"/>
      <c r="E108" s="110" t="s">
        <v>3702</v>
      </c>
      <c r="F108" s="92"/>
      <c r="G108" s="3245"/>
      <c r="H108" s="89">
        <f>M108</f>
        <v>0</v>
      </c>
      <c r="I108" s="92" t="s">
        <v>5499</v>
      </c>
      <c r="J108" s="92" t="s">
        <v>3703</v>
      </c>
      <c r="K108" s="128">
        <v>4</v>
      </c>
      <c r="L108" s="1729">
        <v>0.05</v>
      </c>
      <c r="M108" s="216">
        <v>0</v>
      </c>
      <c r="N108" s="1729">
        <f>(M108/K108)*L108</f>
        <v>0</v>
      </c>
      <c r="O108" s="3247"/>
      <c r="P108" s="97">
        <v>216811031</v>
      </c>
      <c r="Q108" s="97">
        <v>274567330</v>
      </c>
      <c r="R108" s="216">
        <v>0</v>
      </c>
      <c r="S108" s="216">
        <v>0</v>
      </c>
      <c r="T108" s="1730">
        <f t="shared" si="36"/>
        <v>0</v>
      </c>
      <c r="U108" s="1730">
        <f t="shared" si="36"/>
        <v>0</v>
      </c>
      <c r="V108" s="92"/>
      <c r="W108" s="92"/>
      <c r="X108" s="92"/>
      <c r="Y108" s="2970"/>
    </row>
    <row r="109" spans="1:25" ht="16.5" customHeight="1">
      <c r="A109" s="2853">
        <v>4162</v>
      </c>
      <c r="B109" s="605"/>
      <c r="C109" s="2995" t="s">
        <v>109</v>
      </c>
      <c r="D109" s="2921" t="s">
        <v>3704</v>
      </c>
      <c r="E109" s="110" t="s">
        <v>3705</v>
      </c>
      <c r="F109" s="92"/>
      <c r="G109" s="92"/>
      <c r="H109" s="128">
        <f>SUM(H110:H111)</f>
        <v>0</v>
      </c>
      <c r="I109" s="92"/>
      <c r="J109" s="92"/>
      <c r="K109" s="128"/>
      <c r="L109" s="1729">
        <f>SUM(L110:L111)</f>
        <v>1</v>
      </c>
      <c r="M109" s="76">
        <f>SUM(M110:M111)</f>
        <v>0</v>
      </c>
      <c r="N109" s="1726">
        <f>SUM(N110:N111)</f>
        <v>0.13</v>
      </c>
      <c r="O109" s="3246">
        <f>IF(Q109&gt;0,N109,"na")</f>
        <v>0.13</v>
      </c>
      <c r="P109" s="97">
        <f>SUM(P110:P111)</f>
        <v>7430283916</v>
      </c>
      <c r="Q109" s="97">
        <f t="shared" ref="Q109:S109" si="40">SUM(Q110:Q111)</f>
        <v>10409364470</v>
      </c>
      <c r="R109" s="97">
        <f t="shared" si="40"/>
        <v>1764563951</v>
      </c>
      <c r="S109" s="97">
        <f t="shared" si="40"/>
        <v>573498000</v>
      </c>
      <c r="T109" s="1727">
        <f t="shared" si="36"/>
        <v>0.16951697253809386</v>
      </c>
      <c r="U109" s="1727">
        <f t="shared" si="36"/>
        <v>0.32500833969490972</v>
      </c>
      <c r="V109" s="71"/>
      <c r="W109" s="71"/>
      <c r="X109" s="71"/>
      <c r="Y109" s="1225"/>
    </row>
    <row r="110" spans="1:25" ht="148.5" customHeight="1">
      <c r="A110" s="2969"/>
      <c r="B110" s="605"/>
      <c r="C110" s="3204"/>
      <c r="D110" s="3248"/>
      <c r="E110" s="110" t="s">
        <v>3706</v>
      </c>
      <c r="F110" s="92"/>
      <c r="G110" s="2921" t="s">
        <v>3682</v>
      </c>
      <c r="H110" s="89">
        <f>M110</f>
        <v>0</v>
      </c>
      <c r="I110" s="92" t="s">
        <v>3707</v>
      </c>
      <c r="J110" s="92" t="s">
        <v>1843</v>
      </c>
      <c r="K110" s="128">
        <v>300</v>
      </c>
      <c r="L110" s="1729">
        <v>0.68</v>
      </c>
      <c r="M110" s="216">
        <v>0</v>
      </c>
      <c r="N110" s="1729">
        <v>0.1</v>
      </c>
      <c r="O110" s="3249"/>
      <c r="P110" s="97">
        <v>4587987868</v>
      </c>
      <c r="Q110" s="97">
        <v>7098372384</v>
      </c>
      <c r="R110" s="216">
        <v>1244623000</v>
      </c>
      <c r="S110" s="216">
        <v>573498000</v>
      </c>
      <c r="T110" s="1730">
        <f t="shared" si="36"/>
        <v>0.17533920914115853</v>
      </c>
      <c r="U110" s="1730">
        <f t="shared" si="36"/>
        <v>0.4607804933702816</v>
      </c>
      <c r="V110" s="1731">
        <v>45349</v>
      </c>
      <c r="W110" s="1731">
        <v>45657</v>
      </c>
      <c r="X110" s="92" t="s">
        <v>5500</v>
      </c>
      <c r="Y110" s="2853" t="s">
        <v>3685</v>
      </c>
    </row>
    <row r="111" spans="1:25" ht="148.5">
      <c r="A111" s="2970"/>
      <c r="B111" s="605"/>
      <c r="C111" s="3205"/>
      <c r="D111" s="3245"/>
      <c r="E111" s="110" t="s">
        <v>3708</v>
      </c>
      <c r="F111" s="92"/>
      <c r="G111" s="3245"/>
      <c r="H111" s="89">
        <f>M111</f>
        <v>0</v>
      </c>
      <c r="I111" s="92" t="s">
        <v>3709</v>
      </c>
      <c r="J111" s="92" t="s">
        <v>2253</v>
      </c>
      <c r="K111" s="128">
        <v>15</v>
      </c>
      <c r="L111" s="1729">
        <v>0.32</v>
      </c>
      <c r="M111" s="216">
        <v>0</v>
      </c>
      <c r="N111" s="1729">
        <v>0.03</v>
      </c>
      <c r="O111" s="3247"/>
      <c r="P111" s="97">
        <v>2842296048</v>
      </c>
      <c r="Q111" s="97">
        <v>3310992086</v>
      </c>
      <c r="R111" s="216">
        <v>519940951</v>
      </c>
      <c r="S111" s="216">
        <v>0</v>
      </c>
      <c r="T111" s="1730">
        <f t="shared" si="36"/>
        <v>0.15703479123326422</v>
      </c>
      <c r="U111" s="1730">
        <f t="shared" si="36"/>
        <v>0</v>
      </c>
      <c r="V111" s="1731">
        <v>45388</v>
      </c>
      <c r="W111" s="1731">
        <v>45657</v>
      </c>
      <c r="X111" s="92" t="s">
        <v>5501</v>
      </c>
      <c r="Y111" s="2970"/>
    </row>
    <row r="112" spans="1:25" ht="16.5" customHeight="1">
      <c r="A112" s="2853">
        <v>4162</v>
      </c>
      <c r="B112" s="605"/>
      <c r="C112" s="2995" t="s">
        <v>109</v>
      </c>
      <c r="D112" s="2852" t="s">
        <v>3710</v>
      </c>
      <c r="E112" s="110" t="s">
        <v>3711</v>
      </c>
      <c r="F112" s="92"/>
      <c r="G112" s="92"/>
      <c r="H112" s="128">
        <f>H113</f>
        <v>0</v>
      </c>
      <c r="I112" s="92"/>
      <c r="J112" s="92"/>
      <c r="K112" s="128"/>
      <c r="L112" s="1729">
        <f>SUM(L113)</f>
        <v>1</v>
      </c>
      <c r="M112" s="76">
        <f>M113</f>
        <v>0</v>
      </c>
      <c r="N112" s="1726">
        <f>N113</f>
        <v>0</v>
      </c>
      <c r="O112" s="3246">
        <f>IF(Q112&gt;0,N112,"na")</f>
        <v>0</v>
      </c>
      <c r="P112" s="97">
        <f>SUM(P113)</f>
        <v>967619272</v>
      </c>
      <c r="Q112" s="97">
        <f t="shared" ref="Q112:S112" si="41">SUM(Q113)</f>
        <v>967619272</v>
      </c>
      <c r="R112" s="97">
        <f t="shared" si="41"/>
        <v>0</v>
      </c>
      <c r="S112" s="97">
        <f t="shared" si="41"/>
        <v>0</v>
      </c>
      <c r="T112" s="1727">
        <f t="shared" si="36"/>
        <v>0</v>
      </c>
      <c r="U112" s="1727">
        <f t="shared" si="36"/>
        <v>0</v>
      </c>
      <c r="V112" s="71"/>
      <c r="W112" s="71"/>
      <c r="X112" s="71"/>
      <c r="Y112" s="1225"/>
    </row>
    <row r="113" spans="1:25" ht="108" customHeight="1">
      <c r="A113" s="2970"/>
      <c r="B113" s="605"/>
      <c r="C113" s="3205"/>
      <c r="D113" s="3252"/>
      <c r="E113" s="110" t="s">
        <v>3712</v>
      </c>
      <c r="F113" s="92"/>
      <c r="G113" s="92" t="s">
        <v>3682</v>
      </c>
      <c r="H113" s="89">
        <f>M113</f>
        <v>0</v>
      </c>
      <c r="I113" s="92" t="s">
        <v>3713</v>
      </c>
      <c r="J113" s="92" t="s">
        <v>3714</v>
      </c>
      <c r="K113" s="128">
        <v>3</v>
      </c>
      <c r="L113" s="1729">
        <v>1</v>
      </c>
      <c r="M113" s="216">
        <v>0</v>
      </c>
      <c r="N113" s="1729">
        <f>(M113/K113)*L113</f>
        <v>0</v>
      </c>
      <c r="O113" s="3247"/>
      <c r="P113" s="97">
        <v>967619272</v>
      </c>
      <c r="Q113" s="97">
        <v>967619272</v>
      </c>
      <c r="R113" s="216">
        <v>0</v>
      </c>
      <c r="S113" s="216">
        <v>0</v>
      </c>
      <c r="T113" s="1730">
        <f t="shared" si="36"/>
        <v>0</v>
      </c>
      <c r="U113" s="1730">
        <f t="shared" si="36"/>
        <v>0</v>
      </c>
      <c r="V113" s="92"/>
      <c r="W113" s="92"/>
      <c r="X113" s="92"/>
      <c r="Y113" s="1225" t="s">
        <v>3685</v>
      </c>
    </row>
    <row r="114" spans="1:25" ht="16.5" customHeight="1">
      <c r="A114" s="2853">
        <v>4162</v>
      </c>
      <c r="B114" s="605"/>
      <c r="C114" s="2995" t="s">
        <v>109</v>
      </c>
      <c r="D114" s="2852" t="s">
        <v>3715</v>
      </c>
      <c r="E114" s="110" t="s">
        <v>3716</v>
      </c>
      <c r="F114" s="92"/>
      <c r="G114" s="92"/>
      <c r="H114" s="128">
        <f>H115</f>
        <v>0</v>
      </c>
      <c r="I114" s="92"/>
      <c r="J114" s="92"/>
      <c r="K114" s="128"/>
      <c r="L114" s="1729">
        <f>SUM(L115)</f>
        <v>1</v>
      </c>
      <c r="M114" s="76">
        <f>M115</f>
        <v>0</v>
      </c>
      <c r="N114" s="1726">
        <f>N115</f>
        <v>0</v>
      </c>
      <c r="O114" s="3246">
        <f>IF(Q114&gt;0,N114,"na")</f>
        <v>0</v>
      </c>
      <c r="P114" s="97">
        <f>SUM(P115)</f>
        <v>664558224</v>
      </c>
      <c r="Q114" s="97">
        <f t="shared" ref="Q114:S114" si="42">SUM(Q115)</f>
        <v>664558224</v>
      </c>
      <c r="R114" s="97">
        <f t="shared" si="42"/>
        <v>0</v>
      </c>
      <c r="S114" s="97">
        <f t="shared" si="42"/>
        <v>0</v>
      </c>
      <c r="T114" s="1727">
        <f t="shared" si="36"/>
        <v>0</v>
      </c>
      <c r="U114" s="1727">
        <f t="shared" si="36"/>
        <v>0</v>
      </c>
      <c r="V114" s="71"/>
      <c r="W114" s="71"/>
      <c r="X114" s="71"/>
      <c r="Y114" s="1225"/>
    </row>
    <row r="115" spans="1:25" ht="108" customHeight="1">
      <c r="A115" s="2970"/>
      <c r="B115" s="605"/>
      <c r="C115" s="3205"/>
      <c r="D115" s="3252"/>
      <c r="E115" s="110" t="s">
        <v>3717</v>
      </c>
      <c r="F115" s="92"/>
      <c r="G115" s="92" t="s">
        <v>3682</v>
      </c>
      <c r="H115" s="89">
        <f>M115</f>
        <v>0</v>
      </c>
      <c r="I115" s="92" t="s">
        <v>3718</v>
      </c>
      <c r="J115" s="92" t="s">
        <v>3714</v>
      </c>
      <c r="K115" s="128">
        <v>2</v>
      </c>
      <c r="L115" s="1729">
        <v>1</v>
      </c>
      <c r="M115" s="216">
        <v>0</v>
      </c>
      <c r="N115" s="1729">
        <f>(M115/K115)*L115</f>
        <v>0</v>
      </c>
      <c r="O115" s="3247"/>
      <c r="P115" s="97">
        <v>664558224</v>
      </c>
      <c r="Q115" s="216">
        <v>664558224</v>
      </c>
      <c r="R115" s="216">
        <v>0</v>
      </c>
      <c r="S115" s="216">
        <v>0</v>
      </c>
      <c r="T115" s="1730">
        <f t="shared" si="36"/>
        <v>0</v>
      </c>
      <c r="U115" s="1730">
        <f t="shared" si="36"/>
        <v>0</v>
      </c>
      <c r="V115" s="92"/>
      <c r="W115" s="92"/>
      <c r="X115" s="92"/>
      <c r="Y115" s="1225" t="s">
        <v>3685</v>
      </c>
    </row>
    <row r="116" spans="1:25" ht="16.5" customHeight="1">
      <c r="A116" s="2853">
        <v>4162</v>
      </c>
      <c r="B116" s="605"/>
      <c r="C116" s="2995" t="s">
        <v>109</v>
      </c>
      <c r="D116" s="2852" t="s">
        <v>3719</v>
      </c>
      <c r="E116" s="110" t="s">
        <v>3720</v>
      </c>
      <c r="F116" s="92"/>
      <c r="G116" s="92"/>
      <c r="H116" s="128">
        <f>H117</f>
        <v>0</v>
      </c>
      <c r="I116" s="92"/>
      <c r="J116" s="92"/>
      <c r="K116" s="128"/>
      <c r="L116" s="1729">
        <f>SUM(L117)</f>
        <v>1</v>
      </c>
      <c r="M116" s="76">
        <f>M117</f>
        <v>0</v>
      </c>
      <c r="N116" s="1726">
        <f>N117</f>
        <v>0</v>
      </c>
      <c r="O116" s="3246">
        <f>IF(Q116&gt;0,N116,"na")</f>
        <v>0</v>
      </c>
      <c r="P116" s="97">
        <f>SUM(P117)</f>
        <v>639506738</v>
      </c>
      <c r="Q116" s="97">
        <f t="shared" ref="Q116:S116" si="43">SUM(Q117)</f>
        <v>639506738</v>
      </c>
      <c r="R116" s="97">
        <f t="shared" si="43"/>
        <v>0</v>
      </c>
      <c r="S116" s="97">
        <f t="shared" si="43"/>
        <v>0</v>
      </c>
      <c r="T116" s="1727">
        <f t="shared" si="36"/>
        <v>0</v>
      </c>
      <c r="U116" s="1727">
        <f t="shared" si="36"/>
        <v>0</v>
      </c>
      <c r="V116" s="71"/>
      <c r="W116" s="71"/>
      <c r="X116" s="71"/>
      <c r="Y116" s="1225"/>
    </row>
    <row r="117" spans="1:25" ht="108" customHeight="1">
      <c r="A117" s="2970"/>
      <c r="B117" s="605"/>
      <c r="C117" s="3205"/>
      <c r="D117" s="3252"/>
      <c r="E117" s="110" t="s">
        <v>3721</v>
      </c>
      <c r="F117" s="92"/>
      <c r="G117" s="92" t="s">
        <v>3682</v>
      </c>
      <c r="H117" s="89">
        <f>M117</f>
        <v>0</v>
      </c>
      <c r="I117" s="92" t="s">
        <v>3718</v>
      </c>
      <c r="J117" s="92" t="s">
        <v>3714</v>
      </c>
      <c r="K117" s="128">
        <v>2</v>
      </c>
      <c r="L117" s="1729">
        <v>1</v>
      </c>
      <c r="M117" s="216">
        <v>0</v>
      </c>
      <c r="N117" s="1729">
        <f>(M117/K117)*L117</f>
        <v>0</v>
      </c>
      <c r="O117" s="3247"/>
      <c r="P117" s="97">
        <v>639506738</v>
      </c>
      <c r="Q117" s="216">
        <v>639506738</v>
      </c>
      <c r="R117" s="216">
        <v>0</v>
      </c>
      <c r="S117" s="216">
        <v>0</v>
      </c>
      <c r="T117" s="1730">
        <f t="shared" si="36"/>
        <v>0</v>
      </c>
      <c r="U117" s="1730">
        <f t="shared" si="36"/>
        <v>0</v>
      </c>
      <c r="V117" s="92"/>
      <c r="W117" s="92"/>
      <c r="X117" s="92"/>
      <c r="Y117" s="1225" t="s">
        <v>3685</v>
      </c>
    </row>
    <row r="118" spans="1:25" ht="16.5" customHeight="1">
      <c r="A118" s="2853">
        <v>4162</v>
      </c>
      <c r="B118" s="605"/>
      <c r="C118" s="2995" t="s">
        <v>109</v>
      </c>
      <c r="D118" s="2852" t="s">
        <v>3722</v>
      </c>
      <c r="E118" s="110" t="s">
        <v>3723</v>
      </c>
      <c r="F118" s="92"/>
      <c r="G118" s="92"/>
      <c r="H118" s="128">
        <f>H119</f>
        <v>0</v>
      </c>
      <c r="I118" s="92"/>
      <c r="J118" s="92"/>
      <c r="K118" s="128"/>
      <c r="L118" s="1729">
        <f>SUM(L119)</f>
        <v>1</v>
      </c>
      <c r="M118" s="76">
        <f>M119</f>
        <v>0</v>
      </c>
      <c r="N118" s="1726">
        <f>N119</f>
        <v>0</v>
      </c>
      <c r="O118" s="3246">
        <f>IF(Q118&gt;0,N118,"na")</f>
        <v>0</v>
      </c>
      <c r="P118" s="97">
        <f>SUM(P119)</f>
        <v>638593460</v>
      </c>
      <c r="Q118" s="97">
        <f t="shared" ref="Q118:S118" si="44">SUM(Q119)</f>
        <v>638593460</v>
      </c>
      <c r="R118" s="97">
        <f t="shared" si="44"/>
        <v>0</v>
      </c>
      <c r="S118" s="97">
        <f t="shared" si="44"/>
        <v>0</v>
      </c>
      <c r="T118" s="1727">
        <f t="shared" si="36"/>
        <v>0</v>
      </c>
      <c r="U118" s="1727">
        <f t="shared" si="36"/>
        <v>0</v>
      </c>
      <c r="V118" s="71"/>
      <c r="W118" s="71"/>
      <c r="X118" s="71"/>
      <c r="Y118" s="1225"/>
    </row>
    <row r="119" spans="1:25" ht="108" customHeight="1">
      <c r="A119" s="2970"/>
      <c r="B119" s="605"/>
      <c r="C119" s="3205"/>
      <c r="D119" s="3252"/>
      <c r="E119" s="110" t="s">
        <v>3724</v>
      </c>
      <c r="F119" s="92"/>
      <c r="G119" s="92" t="s">
        <v>3682</v>
      </c>
      <c r="H119" s="89">
        <f>M119</f>
        <v>0</v>
      </c>
      <c r="I119" s="92" t="s">
        <v>3713</v>
      </c>
      <c r="J119" s="92" t="s">
        <v>3714</v>
      </c>
      <c r="K119" s="128">
        <v>3</v>
      </c>
      <c r="L119" s="1729">
        <v>1</v>
      </c>
      <c r="M119" s="216">
        <v>0</v>
      </c>
      <c r="N119" s="1729">
        <f>(M119/K119)*L119</f>
        <v>0</v>
      </c>
      <c r="O119" s="3247"/>
      <c r="P119" s="97">
        <v>638593460</v>
      </c>
      <c r="Q119" s="97">
        <v>638593460</v>
      </c>
      <c r="R119" s="216">
        <v>0</v>
      </c>
      <c r="S119" s="216">
        <v>0</v>
      </c>
      <c r="T119" s="1730">
        <f t="shared" si="36"/>
        <v>0</v>
      </c>
      <c r="U119" s="1730">
        <f t="shared" si="36"/>
        <v>0</v>
      </c>
      <c r="V119" s="92"/>
      <c r="W119" s="92"/>
      <c r="X119" s="92"/>
      <c r="Y119" s="1225" t="s">
        <v>3685</v>
      </c>
    </row>
    <row r="120" spans="1:25" ht="16.5" customHeight="1">
      <c r="A120" s="2853">
        <v>4162</v>
      </c>
      <c r="B120" s="605"/>
      <c r="C120" s="2995" t="s">
        <v>109</v>
      </c>
      <c r="D120" s="2852" t="s">
        <v>3725</v>
      </c>
      <c r="E120" s="110" t="s">
        <v>3726</v>
      </c>
      <c r="F120" s="92"/>
      <c r="G120" s="92"/>
      <c r="H120" s="128">
        <f>H121</f>
        <v>0</v>
      </c>
      <c r="I120" s="92"/>
      <c r="J120" s="92"/>
      <c r="K120" s="128"/>
      <c r="L120" s="1729">
        <f>SUM(L121)</f>
        <v>1</v>
      </c>
      <c r="M120" s="76">
        <f>M121</f>
        <v>0</v>
      </c>
      <c r="N120" s="1726">
        <f>N121</f>
        <v>0</v>
      </c>
      <c r="O120" s="3246">
        <f>IF(Q120&gt;0,N120,"na")</f>
        <v>0</v>
      </c>
      <c r="P120" s="97">
        <f>SUM(P121)</f>
        <v>356949426</v>
      </c>
      <c r="Q120" s="97">
        <f t="shared" ref="Q120:S120" si="45">SUM(Q121)</f>
        <v>356949426</v>
      </c>
      <c r="R120" s="97">
        <f t="shared" si="45"/>
        <v>0</v>
      </c>
      <c r="S120" s="97">
        <f t="shared" si="45"/>
        <v>0</v>
      </c>
      <c r="T120" s="1727">
        <f t="shared" si="36"/>
        <v>0</v>
      </c>
      <c r="U120" s="1727">
        <f t="shared" si="36"/>
        <v>0</v>
      </c>
      <c r="V120" s="71"/>
      <c r="W120" s="71"/>
      <c r="X120" s="71"/>
      <c r="Y120" s="1225"/>
    </row>
    <row r="121" spans="1:25" ht="108" customHeight="1">
      <c r="A121" s="2970"/>
      <c r="B121" s="605"/>
      <c r="C121" s="3205"/>
      <c r="D121" s="3252"/>
      <c r="E121" s="110" t="s">
        <v>3727</v>
      </c>
      <c r="F121" s="92"/>
      <c r="G121" s="92" t="s">
        <v>3682</v>
      </c>
      <c r="H121" s="89">
        <f>M121</f>
        <v>0</v>
      </c>
      <c r="I121" s="92" t="s">
        <v>3728</v>
      </c>
      <c r="J121" s="92" t="s">
        <v>3729</v>
      </c>
      <c r="K121" s="128">
        <v>4</v>
      </c>
      <c r="L121" s="1729">
        <v>1</v>
      </c>
      <c r="M121" s="216">
        <v>0</v>
      </c>
      <c r="N121" s="1729">
        <f>(M121/K121)*L121</f>
        <v>0</v>
      </c>
      <c r="O121" s="3247"/>
      <c r="P121" s="97">
        <v>356949426</v>
      </c>
      <c r="Q121" s="216">
        <v>356949426</v>
      </c>
      <c r="R121" s="216">
        <v>0</v>
      </c>
      <c r="S121" s="216">
        <v>0</v>
      </c>
      <c r="T121" s="1730">
        <f t="shared" si="36"/>
        <v>0</v>
      </c>
      <c r="U121" s="1730">
        <f t="shared" si="36"/>
        <v>0</v>
      </c>
      <c r="V121" s="92"/>
      <c r="W121" s="92"/>
      <c r="X121" s="92"/>
      <c r="Y121" s="1225" t="s">
        <v>3685</v>
      </c>
    </row>
    <row r="122" spans="1:25" ht="16.5" customHeight="1">
      <c r="A122" s="2853">
        <v>4162</v>
      </c>
      <c r="B122" s="605"/>
      <c r="C122" s="2995" t="s">
        <v>109</v>
      </c>
      <c r="D122" s="2852" t="s">
        <v>3730</v>
      </c>
      <c r="E122" s="110" t="s">
        <v>3731</v>
      </c>
      <c r="F122" s="92"/>
      <c r="G122" s="92"/>
      <c r="H122" s="128">
        <f>H123</f>
        <v>0</v>
      </c>
      <c r="I122" s="92"/>
      <c r="J122" s="92"/>
      <c r="K122" s="128"/>
      <c r="L122" s="1729">
        <f>SUM(L123)</f>
        <v>1</v>
      </c>
      <c r="M122" s="76">
        <f>M123</f>
        <v>0</v>
      </c>
      <c r="N122" s="1726">
        <f>N123</f>
        <v>0</v>
      </c>
      <c r="O122" s="3246">
        <f>IF(Q122&gt;0,N122,"na")</f>
        <v>0</v>
      </c>
      <c r="P122" s="97">
        <f>SUM(P123)</f>
        <v>693943838</v>
      </c>
      <c r="Q122" s="97">
        <f t="shared" ref="Q122:S122" si="46">SUM(Q123)</f>
        <v>693943838</v>
      </c>
      <c r="R122" s="97">
        <f t="shared" si="46"/>
        <v>0</v>
      </c>
      <c r="S122" s="97">
        <f t="shared" si="46"/>
        <v>0</v>
      </c>
      <c r="T122" s="1727">
        <f t="shared" si="36"/>
        <v>0</v>
      </c>
      <c r="U122" s="1727">
        <f t="shared" si="36"/>
        <v>0</v>
      </c>
      <c r="V122" s="71"/>
      <c r="W122" s="71"/>
      <c r="X122" s="71"/>
      <c r="Y122" s="1225"/>
    </row>
    <row r="123" spans="1:25" ht="108" customHeight="1">
      <c r="A123" s="2970"/>
      <c r="B123" s="605"/>
      <c r="C123" s="3205"/>
      <c r="D123" s="3252"/>
      <c r="E123" s="110" t="s">
        <v>3732</v>
      </c>
      <c r="F123" s="92"/>
      <c r="G123" s="92" t="s">
        <v>3682</v>
      </c>
      <c r="H123" s="89">
        <f>M123</f>
        <v>0</v>
      </c>
      <c r="I123" s="92" t="s">
        <v>3713</v>
      </c>
      <c r="J123" s="92" t="s">
        <v>3733</v>
      </c>
      <c r="K123" s="128">
        <v>3</v>
      </c>
      <c r="L123" s="1729">
        <v>1</v>
      </c>
      <c r="M123" s="216">
        <v>0</v>
      </c>
      <c r="N123" s="1729">
        <f>(M123/K123)*L123</f>
        <v>0</v>
      </c>
      <c r="O123" s="3247"/>
      <c r="P123" s="97">
        <v>693943838</v>
      </c>
      <c r="Q123" s="216">
        <v>693943838</v>
      </c>
      <c r="R123" s="216">
        <v>0</v>
      </c>
      <c r="S123" s="216">
        <v>0</v>
      </c>
      <c r="T123" s="1730">
        <f t="shared" si="36"/>
        <v>0</v>
      </c>
      <c r="U123" s="1730">
        <f t="shared" si="36"/>
        <v>0</v>
      </c>
      <c r="V123" s="92"/>
      <c r="W123" s="92"/>
      <c r="X123" s="92"/>
      <c r="Y123" s="1225" t="s">
        <v>3685</v>
      </c>
    </row>
    <row r="124" spans="1:25" ht="16.5" customHeight="1">
      <c r="A124" s="2853">
        <v>4162</v>
      </c>
      <c r="B124" s="605"/>
      <c r="C124" s="2995" t="s">
        <v>109</v>
      </c>
      <c r="D124" s="2852" t="s">
        <v>3734</v>
      </c>
      <c r="E124" s="110" t="s">
        <v>3735</v>
      </c>
      <c r="F124" s="92"/>
      <c r="G124" s="92"/>
      <c r="H124" s="128">
        <f>H125</f>
        <v>0</v>
      </c>
      <c r="I124" s="92"/>
      <c r="J124" s="92"/>
      <c r="K124" s="128"/>
      <c r="L124" s="1729">
        <f>SUM(L125)</f>
        <v>1</v>
      </c>
      <c r="M124" s="76">
        <f>M125</f>
        <v>0</v>
      </c>
      <c r="N124" s="1726">
        <f>N125</f>
        <v>0</v>
      </c>
      <c r="O124" s="3246">
        <f>IF(Q124&gt;0,N124,"na")</f>
        <v>0</v>
      </c>
      <c r="P124" s="97">
        <f>SUM(P125)</f>
        <v>334247705</v>
      </c>
      <c r="Q124" s="97">
        <f t="shared" ref="Q124:S124" si="47">SUM(Q125)</f>
        <v>334247705</v>
      </c>
      <c r="R124" s="97">
        <f t="shared" si="47"/>
        <v>0</v>
      </c>
      <c r="S124" s="97">
        <f t="shared" si="47"/>
        <v>0</v>
      </c>
      <c r="T124" s="1727">
        <f t="shared" si="36"/>
        <v>0</v>
      </c>
      <c r="U124" s="1727">
        <f t="shared" si="36"/>
        <v>0</v>
      </c>
      <c r="V124" s="71"/>
      <c r="W124" s="71"/>
      <c r="X124" s="71"/>
      <c r="Y124" s="1225"/>
    </row>
    <row r="125" spans="1:25" ht="108" customHeight="1">
      <c r="A125" s="2970"/>
      <c r="B125" s="605"/>
      <c r="C125" s="3205"/>
      <c r="D125" s="3252"/>
      <c r="E125" s="110" t="s">
        <v>3736</v>
      </c>
      <c r="F125" s="92"/>
      <c r="G125" s="92" t="s">
        <v>3682</v>
      </c>
      <c r="H125" s="89">
        <f>M125</f>
        <v>0</v>
      </c>
      <c r="I125" s="92" t="s">
        <v>3737</v>
      </c>
      <c r="J125" s="92" t="s">
        <v>3729</v>
      </c>
      <c r="K125" s="128">
        <v>3</v>
      </c>
      <c r="L125" s="1729">
        <v>1</v>
      </c>
      <c r="M125" s="216">
        <v>0</v>
      </c>
      <c r="N125" s="1729">
        <f>(M125/K125)*L125</f>
        <v>0</v>
      </c>
      <c r="O125" s="3247"/>
      <c r="P125" s="97">
        <v>334247705</v>
      </c>
      <c r="Q125" s="216">
        <v>334247705</v>
      </c>
      <c r="R125" s="216">
        <v>0</v>
      </c>
      <c r="S125" s="216">
        <v>0</v>
      </c>
      <c r="T125" s="1730">
        <f t="shared" si="36"/>
        <v>0</v>
      </c>
      <c r="U125" s="1730">
        <f t="shared" si="36"/>
        <v>0</v>
      </c>
      <c r="V125" s="92"/>
      <c r="W125" s="92"/>
      <c r="X125" s="92"/>
      <c r="Y125" s="1225" t="s">
        <v>3685</v>
      </c>
    </row>
    <row r="126" spans="1:25" ht="16.5" customHeight="1">
      <c r="A126" s="2853">
        <v>4162</v>
      </c>
      <c r="B126" s="605"/>
      <c r="C126" s="2995" t="s">
        <v>109</v>
      </c>
      <c r="D126" s="2852" t="s">
        <v>3738</v>
      </c>
      <c r="E126" s="110" t="s">
        <v>3739</v>
      </c>
      <c r="F126" s="92"/>
      <c r="G126" s="92"/>
      <c r="H126" s="128">
        <f>H127</f>
        <v>0</v>
      </c>
      <c r="I126" s="92"/>
      <c r="J126" s="92"/>
      <c r="K126" s="128"/>
      <c r="L126" s="1729">
        <f>SUM(L127)</f>
        <v>1</v>
      </c>
      <c r="M126" s="76">
        <f>M127</f>
        <v>0</v>
      </c>
      <c r="N126" s="1726">
        <f>N127</f>
        <v>0</v>
      </c>
      <c r="O126" s="3246">
        <f>IF(Q126&gt;0,N126,"na")</f>
        <v>0</v>
      </c>
      <c r="P126" s="97">
        <f>SUM(P127)</f>
        <v>414508117</v>
      </c>
      <c r="Q126" s="97">
        <f t="shared" ref="Q126:S126" si="48">SUM(Q127)</f>
        <v>414508117</v>
      </c>
      <c r="R126" s="97">
        <f t="shared" si="48"/>
        <v>0</v>
      </c>
      <c r="S126" s="97">
        <f t="shared" si="48"/>
        <v>0</v>
      </c>
      <c r="T126" s="1727">
        <f t="shared" si="36"/>
        <v>0</v>
      </c>
      <c r="U126" s="1727">
        <f t="shared" si="36"/>
        <v>0</v>
      </c>
      <c r="V126" s="71"/>
      <c r="W126" s="71"/>
      <c r="X126" s="71"/>
      <c r="Y126" s="1225"/>
    </row>
    <row r="127" spans="1:25" ht="108" customHeight="1">
      <c r="A127" s="2970"/>
      <c r="B127" s="605"/>
      <c r="C127" s="3205"/>
      <c r="D127" s="3252"/>
      <c r="E127" s="110" t="s">
        <v>3740</v>
      </c>
      <c r="F127" s="92"/>
      <c r="G127" s="92" t="s">
        <v>3682</v>
      </c>
      <c r="H127" s="89">
        <f>M127</f>
        <v>0</v>
      </c>
      <c r="I127" s="92" t="s">
        <v>3718</v>
      </c>
      <c r="J127" s="92" t="s">
        <v>3741</v>
      </c>
      <c r="K127" s="128">
        <v>2</v>
      </c>
      <c r="L127" s="1729">
        <v>1</v>
      </c>
      <c r="M127" s="216">
        <v>0</v>
      </c>
      <c r="N127" s="1729">
        <f>(M127/K127)*L127</f>
        <v>0</v>
      </c>
      <c r="O127" s="3247"/>
      <c r="P127" s="97">
        <v>414508117</v>
      </c>
      <c r="Q127" s="216">
        <v>414508117</v>
      </c>
      <c r="R127" s="216">
        <v>0</v>
      </c>
      <c r="S127" s="216">
        <v>0</v>
      </c>
      <c r="T127" s="1730">
        <f t="shared" si="36"/>
        <v>0</v>
      </c>
      <c r="U127" s="1730">
        <f t="shared" si="36"/>
        <v>0</v>
      </c>
      <c r="V127" s="92"/>
      <c r="W127" s="92"/>
      <c r="X127" s="92"/>
      <c r="Y127" s="1225" t="s">
        <v>3685</v>
      </c>
    </row>
    <row r="128" spans="1:25" ht="16.5" customHeight="1">
      <c r="A128" s="2853">
        <v>4162</v>
      </c>
      <c r="B128" s="605"/>
      <c r="C128" s="2995" t="s">
        <v>109</v>
      </c>
      <c r="D128" s="2852" t="s">
        <v>3742</v>
      </c>
      <c r="E128" s="110" t="s">
        <v>3743</v>
      </c>
      <c r="F128" s="92"/>
      <c r="G128" s="92"/>
      <c r="H128" s="128">
        <f>H129</f>
        <v>0</v>
      </c>
      <c r="I128" s="92"/>
      <c r="J128" s="92"/>
      <c r="K128" s="128"/>
      <c r="L128" s="1729">
        <f>SUM(L129)</f>
        <v>1</v>
      </c>
      <c r="M128" s="76">
        <f>M129</f>
        <v>0</v>
      </c>
      <c r="N128" s="1726">
        <f>N129</f>
        <v>0</v>
      </c>
      <c r="O128" s="3246">
        <f>IF(Q128&gt;0,N128,"na")</f>
        <v>0</v>
      </c>
      <c r="P128" s="97">
        <f>SUM(P129)</f>
        <v>1035387800</v>
      </c>
      <c r="Q128" s="97">
        <f t="shared" ref="Q128:S128" si="49">SUM(Q129)</f>
        <v>1035387800</v>
      </c>
      <c r="R128" s="97">
        <f t="shared" si="49"/>
        <v>0</v>
      </c>
      <c r="S128" s="97">
        <f t="shared" si="49"/>
        <v>0</v>
      </c>
      <c r="T128" s="1727">
        <f t="shared" si="36"/>
        <v>0</v>
      </c>
      <c r="U128" s="1727">
        <f t="shared" si="36"/>
        <v>0</v>
      </c>
      <c r="V128" s="71"/>
      <c r="W128" s="71"/>
      <c r="X128" s="71"/>
      <c r="Y128" s="1225"/>
    </row>
    <row r="129" spans="1:25" ht="108" customHeight="1">
      <c r="A129" s="2970"/>
      <c r="B129" s="605"/>
      <c r="C129" s="3205"/>
      <c r="D129" s="3252"/>
      <c r="E129" s="110" t="s">
        <v>3744</v>
      </c>
      <c r="F129" s="92"/>
      <c r="G129" s="92" t="s">
        <v>3682</v>
      </c>
      <c r="H129" s="89">
        <f>M129</f>
        <v>0</v>
      </c>
      <c r="I129" s="92" t="s">
        <v>3713</v>
      </c>
      <c r="J129" s="92" t="s">
        <v>3741</v>
      </c>
      <c r="K129" s="128">
        <v>3</v>
      </c>
      <c r="L129" s="1729">
        <v>1</v>
      </c>
      <c r="M129" s="216">
        <v>0</v>
      </c>
      <c r="N129" s="1729">
        <f>(M129/K129)*L129</f>
        <v>0</v>
      </c>
      <c r="O129" s="3247"/>
      <c r="P129" s="97">
        <v>1035387800</v>
      </c>
      <c r="Q129" s="216">
        <v>1035387800</v>
      </c>
      <c r="R129" s="216">
        <v>0</v>
      </c>
      <c r="S129" s="216">
        <v>0</v>
      </c>
      <c r="T129" s="1730">
        <f t="shared" si="36"/>
        <v>0</v>
      </c>
      <c r="U129" s="1730">
        <f t="shared" si="36"/>
        <v>0</v>
      </c>
      <c r="V129" s="92"/>
      <c r="W129" s="92"/>
      <c r="X129" s="92"/>
      <c r="Y129" s="1225" t="s">
        <v>3685</v>
      </c>
    </row>
    <row r="130" spans="1:25" ht="16.5" customHeight="1">
      <c r="A130" s="2853">
        <v>4162</v>
      </c>
      <c r="B130" s="605"/>
      <c r="C130" s="2995" t="s">
        <v>109</v>
      </c>
      <c r="D130" s="2852" t="s">
        <v>3745</v>
      </c>
      <c r="E130" s="110" t="s">
        <v>3746</v>
      </c>
      <c r="F130" s="92"/>
      <c r="G130" s="92"/>
      <c r="H130" s="128">
        <f>H131</f>
        <v>0</v>
      </c>
      <c r="I130" s="92"/>
      <c r="J130" s="92" t="s">
        <v>251</v>
      </c>
      <c r="K130" s="128"/>
      <c r="L130" s="1729">
        <f>SUM(L131)</f>
        <v>1</v>
      </c>
      <c r="M130" s="76">
        <f>M131</f>
        <v>0</v>
      </c>
      <c r="N130" s="1726">
        <f>N131</f>
        <v>0</v>
      </c>
      <c r="O130" s="3246">
        <f>IF(Q130&gt;0,N130,"na")</f>
        <v>0</v>
      </c>
      <c r="P130" s="97">
        <f>SUM(P131)</f>
        <v>400000000</v>
      </c>
      <c r="Q130" s="97">
        <f t="shared" ref="Q130:S130" si="50">SUM(Q131)</f>
        <v>400000000</v>
      </c>
      <c r="R130" s="97">
        <f t="shared" si="50"/>
        <v>0</v>
      </c>
      <c r="S130" s="97">
        <f t="shared" si="50"/>
        <v>0</v>
      </c>
      <c r="T130" s="1727">
        <f t="shared" si="36"/>
        <v>0</v>
      </c>
      <c r="U130" s="1727">
        <f t="shared" si="36"/>
        <v>0</v>
      </c>
      <c r="V130" s="71"/>
      <c r="W130" s="71"/>
      <c r="X130" s="71"/>
      <c r="Y130" s="1225"/>
    </row>
    <row r="131" spans="1:25" ht="108" customHeight="1">
      <c r="A131" s="2970"/>
      <c r="B131" s="605"/>
      <c r="C131" s="3205"/>
      <c r="D131" s="3252"/>
      <c r="E131" s="110" t="s">
        <v>3747</v>
      </c>
      <c r="F131" s="92"/>
      <c r="G131" s="92" t="s">
        <v>3682</v>
      </c>
      <c r="H131" s="89">
        <f>M131</f>
        <v>0</v>
      </c>
      <c r="I131" s="92" t="s">
        <v>3748</v>
      </c>
      <c r="J131" s="92" t="s">
        <v>3749</v>
      </c>
      <c r="K131" s="128">
        <v>1</v>
      </c>
      <c r="L131" s="1729">
        <v>1</v>
      </c>
      <c r="M131" s="216">
        <v>0</v>
      </c>
      <c r="N131" s="1729">
        <f>(M131/K131)*L131</f>
        <v>0</v>
      </c>
      <c r="O131" s="3247"/>
      <c r="P131" s="97">
        <v>400000000</v>
      </c>
      <c r="Q131" s="97">
        <v>400000000</v>
      </c>
      <c r="R131" s="216">
        <v>0</v>
      </c>
      <c r="S131" s="216">
        <v>0</v>
      </c>
      <c r="T131" s="1730">
        <f t="shared" si="36"/>
        <v>0</v>
      </c>
      <c r="U131" s="1730">
        <f t="shared" si="36"/>
        <v>0</v>
      </c>
      <c r="V131" s="92"/>
      <c r="W131" s="92"/>
      <c r="X131" s="92"/>
      <c r="Y131" s="1225" t="s">
        <v>3685</v>
      </c>
    </row>
    <row r="132" spans="1:25" ht="16.5" customHeight="1">
      <c r="A132" s="2853">
        <v>4162</v>
      </c>
      <c r="B132" s="605"/>
      <c r="C132" s="2995" t="s">
        <v>109</v>
      </c>
      <c r="D132" s="2852" t="s">
        <v>3750</v>
      </c>
      <c r="E132" s="110" t="s">
        <v>3751</v>
      </c>
      <c r="F132" s="92"/>
      <c r="G132" s="92"/>
      <c r="H132" s="128">
        <f>H133</f>
        <v>0</v>
      </c>
      <c r="I132" s="92"/>
      <c r="J132" s="92"/>
      <c r="K132" s="128"/>
      <c r="L132" s="1729">
        <f>SUM(L133)</f>
        <v>1</v>
      </c>
      <c r="M132" s="76">
        <f>M133</f>
        <v>0</v>
      </c>
      <c r="N132" s="1726">
        <f>N133</f>
        <v>0</v>
      </c>
      <c r="O132" s="3246">
        <f>IF(Q132&gt;0,N132,"na")</f>
        <v>0</v>
      </c>
      <c r="P132" s="97">
        <f>SUM(P133)</f>
        <v>263000000</v>
      </c>
      <c r="Q132" s="97">
        <f t="shared" ref="Q132:S134" si="51">SUM(Q133)</f>
        <v>263000000</v>
      </c>
      <c r="R132" s="97">
        <f t="shared" si="51"/>
        <v>0</v>
      </c>
      <c r="S132" s="97">
        <f t="shared" si="51"/>
        <v>0</v>
      </c>
      <c r="T132" s="1727">
        <f t="shared" si="36"/>
        <v>0</v>
      </c>
      <c r="U132" s="1727">
        <f t="shared" si="36"/>
        <v>0</v>
      </c>
      <c r="V132" s="71"/>
      <c r="W132" s="71"/>
      <c r="X132" s="71"/>
      <c r="Y132" s="1225"/>
    </row>
    <row r="133" spans="1:25" ht="108" customHeight="1">
      <c r="A133" s="2970"/>
      <c r="B133" s="605"/>
      <c r="C133" s="3205"/>
      <c r="D133" s="3252"/>
      <c r="E133" s="110" t="s">
        <v>3752</v>
      </c>
      <c r="F133" s="92"/>
      <c r="G133" s="92" t="s">
        <v>3682</v>
      </c>
      <c r="H133" s="89">
        <f>M133</f>
        <v>0</v>
      </c>
      <c r="I133" s="92" t="s">
        <v>5502</v>
      </c>
      <c r="J133" s="92" t="s">
        <v>3729</v>
      </c>
      <c r="K133" s="128">
        <v>1</v>
      </c>
      <c r="L133" s="1729">
        <v>1</v>
      </c>
      <c r="M133" s="216">
        <v>0</v>
      </c>
      <c r="N133" s="1729">
        <f>(M133/K133)*L133</f>
        <v>0</v>
      </c>
      <c r="O133" s="3247"/>
      <c r="P133" s="97">
        <v>263000000</v>
      </c>
      <c r="Q133" s="216">
        <v>263000000</v>
      </c>
      <c r="R133" s="216">
        <v>0</v>
      </c>
      <c r="S133" s="216">
        <v>0</v>
      </c>
      <c r="T133" s="1730">
        <f t="shared" si="36"/>
        <v>0</v>
      </c>
      <c r="U133" s="1730">
        <f t="shared" si="36"/>
        <v>0</v>
      </c>
      <c r="V133" s="92"/>
      <c r="W133" s="92"/>
      <c r="X133" s="92"/>
      <c r="Y133" s="1225" t="s">
        <v>3685</v>
      </c>
    </row>
    <row r="134" spans="1:25" ht="16.5" customHeight="1">
      <c r="A134" s="2853">
        <v>4162</v>
      </c>
      <c r="B134" s="605"/>
      <c r="C134" s="2995" t="s">
        <v>109</v>
      </c>
      <c r="D134" s="2921" t="s">
        <v>5503</v>
      </c>
      <c r="E134" s="110" t="s">
        <v>5504</v>
      </c>
      <c r="F134" s="92"/>
      <c r="G134" s="92"/>
      <c r="H134" s="89"/>
      <c r="I134" s="92"/>
      <c r="J134" s="92"/>
      <c r="K134" s="128"/>
      <c r="L134" s="1729"/>
      <c r="M134" s="216"/>
      <c r="N134" s="1729"/>
      <c r="O134" s="3246">
        <f>IF(Q134&gt;0,N134,"na")</f>
        <v>0</v>
      </c>
      <c r="P134" s="97">
        <f>SUM(P135)</f>
        <v>0</v>
      </c>
      <c r="Q134" s="97">
        <f t="shared" si="51"/>
        <v>185875462</v>
      </c>
      <c r="R134" s="97">
        <f t="shared" si="51"/>
        <v>147467121</v>
      </c>
      <c r="S134" s="97">
        <f t="shared" si="51"/>
        <v>0</v>
      </c>
      <c r="T134" s="1727">
        <f t="shared" si="36"/>
        <v>0.79336518878430551</v>
      </c>
      <c r="U134" s="1727">
        <f t="shared" si="36"/>
        <v>0</v>
      </c>
      <c r="V134" s="71"/>
      <c r="W134" s="71"/>
      <c r="X134" s="71"/>
      <c r="Y134" s="1225"/>
    </row>
    <row r="135" spans="1:25" ht="108">
      <c r="A135" s="2970"/>
      <c r="B135" s="605"/>
      <c r="C135" s="3205"/>
      <c r="D135" s="3245"/>
      <c r="E135" s="110" t="s">
        <v>5505</v>
      </c>
      <c r="F135" s="92"/>
      <c r="G135" s="92" t="s">
        <v>3682</v>
      </c>
      <c r="H135" s="89">
        <f>M135</f>
        <v>0</v>
      </c>
      <c r="I135" s="92" t="s">
        <v>3737</v>
      </c>
      <c r="J135" s="92" t="s">
        <v>3729</v>
      </c>
      <c r="K135" s="128">
        <v>3</v>
      </c>
      <c r="L135" s="1729">
        <v>1</v>
      </c>
      <c r="M135" s="216">
        <v>0</v>
      </c>
      <c r="N135" s="1729">
        <f>(M135/K135)*L135</f>
        <v>0</v>
      </c>
      <c r="O135" s="3247"/>
      <c r="P135" s="97">
        <v>0</v>
      </c>
      <c r="Q135" s="216">
        <v>185875462</v>
      </c>
      <c r="R135" s="216">
        <v>147467121</v>
      </c>
      <c r="S135" s="216">
        <v>0</v>
      </c>
      <c r="T135" s="1730">
        <f t="shared" si="36"/>
        <v>0.79336518878430551</v>
      </c>
      <c r="U135" s="1730">
        <f t="shared" si="36"/>
        <v>0</v>
      </c>
      <c r="V135" s="1731">
        <v>45471</v>
      </c>
      <c r="W135" s="1731">
        <v>45657</v>
      </c>
      <c r="X135" s="92" t="s">
        <v>5506</v>
      </c>
      <c r="Y135" s="1225" t="s">
        <v>3685</v>
      </c>
    </row>
    <row r="136" spans="1:25" ht="16.5" customHeight="1">
      <c r="A136" s="93"/>
      <c r="B136" s="115">
        <v>5203010</v>
      </c>
      <c r="C136" s="115" t="s">
        <v>102</v>
      </c>
      <c r="D136" s="93" t="s">
        <v>3753</v>
      </c>
      <c r="E136" s="87"/>
      <c r="F136" s="93"/>
      <c r="G136" s="93"/>
      <c r="H136" s="129"/>
      <c r="I136" s="93"/>
      <c r="J136" s="93"/>
      <c r="K136" s="129"/>
      <c r="L136" s="1728"/>
      <c r="M136" s="71"/>
      <c r="N136" s="1726"/>
      <c r="O136" s="1727"/>
      <c r="P136" s="1737"/>
      <c r="Q136" s="76"/>
      <c r="R136" s="76"/>
      <c r="S136" s="76"/>
      <c r="T136" s="1727"/>
      <c r="U136" s="1727"/>
      <c r="V136" s="71"/>
      <c r="W136" s="71"/>
      <c r="X136" s="71"/>
      <c r="Y136" s="129"/>
    </row>
    <row r="137" spans="1:25" ht="25.5">
      <c r="A137" s="71"/>
      <c r="B137" s="111">
        <v>52030100002</v>
      </c>
      <c r="C137" s="112" t="s">
        <v>103</v>
      </c>
      <c r="D137" s="71" t="s">
        <v>3754</v>
      </c>
      <c r="E137" s="71"/>
      <c r="F137" s="71"/>
      <c r="G137" s="71"/>
      <c r="H137" s="128">
        <f>H139</f>
        <v>0</v>
      </c>
      <c r="I137" s="71"/>
      <c r="J137" s="111"/>
      <c r="K137" s="111"/>
      <c r="L137" s="1726"/>
      <c r="M137" s="71"/>
      <c r="N137" s="1726"/>
      <c r="O137" s="1727"/>
      <c r="P137" s="1732"/>
      <c r="Q137" s="76"/>
      <c r="R137" s="76"/>
      <c r="S137" s="76"/>
      <c r="T137" s="1727"/>
      <c r="U137" s="1727"/>
      <c r="V137" s="71"/>
      <c r="W137" s="71"/>
      <c r="X137" s="71"/>
      <c r="Y137" s="111"/>
    </row>
    <row r="138" spans="1:25" ht="16.5" customHeight="1">
      <c r="A138" s="2853">
        <v>4162</v>
      </c>
      <c r="B138" s="605"/>
      <c r="C138" s="2995" t="s">
        <v>109</v>
      </c>
      <c r="D138" s="2852" t="s">
        <v>3755</v>
      </c>
      <c r="E138" s="92" t="s">
        <v>3756</v>
      </c>
      <c r="F138" s="92"/>
      <c r="G138" s="92"/>
      <c r="H138" s="128"/>
      <c r="I138" s="92"/>
      <c r="J138" s="128"/>
      <c r="K138" s="128"/>
      <c r="L138" s="1729">
        <f>SUM(L139)</f>
        <v>1</v>
      </c>
      <c r="M138" s="76">
        <f>M139</f>
        <v>0</v>
      </c>
      <c r="N138" s="1726">
        <f>N139</f>
        <v>0</v>
      </c>
      <c r="O138" s="3246">
        <f>IF(Q138&gt;0,N138,"na")</f>
        <v>0</v>
      </c>
      <c r="P138" s="97">
        <f>SUM(P139)</f>
        <v>300000000</v>
      </c>
      <c r="Q138" s="97">
        <f t="shared" ref="Q138:S138" si="52">SUM(Q139)</f>
        <v>300000000</v>
      </c>
      <c r="R138" s="97">
        <f t="shared" si="52"/>
        <v>300000000</v>
      </c>
      <c r="S138" s="97">
        <f t="shared" si="52"/>
        <v>0</v>
      </c>
      <c r="T138" s="1727">
        <f t="shared" si="36"/>
        <v>1</v>
      </c>
      <c r="U138" s="1727">
        <f t="shared" si="36"/>
        <v>0</v>
      </c>
      <c r="V138" s="71"/>
      <c r="W138" s="71"/>
      <c r="X138" s="71"/>
      <c r="Y138" s="128"/>
    </row>
    <row r="139" spans="1:25" ht="67.5">
      <c r="A139" s="2970"/>
      <c r="B139" s="605"/>
      <c r="C139" s="3205"/>
      <c r="D139" s="3252"/>
      <c r="E139" s="92" t="s">
        <v>3757</v>
      </c>
      <c r="F139" s="92"/>
      <c r="G139" s="92" t="s">
        <v>3754</v>
      </c>
      <c r="H139" s="89">
        <f>M139</f>
        <v>0</v>
      </c>
      <c r="I139" s="92" t="s">
        <v>3758</v>
      </c>
      <c r="J139" s="110" t="s">
        <v>3530</v>
      </c>
      <c r="K139" s="128">
        <v>1</v>
      </c>
      <c r="L139" s="1729">
        <v>1</v>
      </c>
      <c r="M139" s="216">
        <v>0</v>
      </c>
      <c r="N139" s="1729">
        <f>(M139/K139)*L139</f>
        <v>0</v>
      </c>
      <c r="O139" s="3247"/>
      <c r="P139" s="97">
        <v>300000000</v>
      </c>
      <c r="Q139" s="97">
        <v>300000000</v>
      </c>
      <c r="R139" s="216">
        <v>300000000</v>
      </c>
      <c r="S139" s="216">
        <v>0</v>
      </c>
      <c r="T139" s="1730">
        <f t="shared" si="36"/>
        <v>1</v>
      </c>
      <c r="U139" s="1730">
        <f t="shared" si="36"/>
        <v>0</v>
      </c>
      <c r="V139" s="1731">
        <v>45469</v>
      </c>
      <c r="W139" s="1731">
        <v>45657</v>
      </c>
      <c r="X139" s="92" t="s">
        <v>5507</v>
      </c>
      <c r="Y139" s="1225" t="s">
        <v>3532</v>
      </c>
    </row>
    <row r="140" spans="1:25">
      <c r="A140" s="85"/>
      <c r="B140" s="130">
        <v>54</v>
      </c>
      <c r="C140" s="114" t="s">
        <v>100</v>
      </c>
      <c r="D140" s="604" t="s">
        <v>187</v>
      </c>
      <c r="E140" s="85"/>
      <c r="F140" s="85"/>
      <c r="G140" s="85"/>
      <c r="H140" s="130"/>
      <c r="I140" s="85"/>
      <c r="J140" s="130"/>
      <c r="K140" s="130"/>
      <c r="L140" s="1725"/>
      <c r="M140" s="71"/>
      <c r="N140" s="1726"/>
      <c r="O140" s="1727"/>
      <c r="P140" s="1736"/>
      <c r="Q140" s="76"/>
      <c r="R140" s="76"/>
      <c r="S140" s="76"/>
      <c r="T140" s="1727"/>
      <c r="U140" s="1727"/>
      <c r="V140" s="71"/>
      <c r="W140" s="71"/>
      <c r="X140" s="71"/>
      <c r="Y140" s="130"/>
    </row>
    <row r="141" spans="1:25">
      <c r="A141" s="85"/>
      <c r="B141" s="130">
        <v>5402</v>
      </c>
      <c r="C141" s="130" t="s">
        <v>101</v>
      </c>
      <c r="D141" s="85" t="s">
        <v>104</v>
      </c>
      <c r="E141" s="85"/>
      <c r="F141" s="85"/>
      <c r="G141" s="85"/>
      <c r="H141" s="130"/>
      <c r="I141" s="85"/>
      <c r="J141" s="130"/>
      <c r="K141" s="130"/>
      <c r="L141" s="1725"/>
      <c r="M141" s="71"/>
      <c r="N141" s="1726"/>
      <c r="O141" s="1727"/>
      <c r="P141" s="1736"/>
      <c r="Q141" s="76"/>
      <c r="R141" s="76"/>
      <c r="S141" s="76"/>
      <c r="T141" s="1727"/>
      <c r="U141" s="1727"/>
      <c r="V141" s="71"/>
      <c r="W141" s="71"/>
      <c r="X141" s="71"/>
      <c r="Y141" s="130"/>
    </row>
    <row r="142" spans="1:25" ht="16.5" customHeight="1">
      <c r="A142" s="93"/>
      <c r="B142" s="129">
        <v>5402001</v>
      </c>
      <c r="C142" s="115" t="s">
        <v>102</v>
      </c>
      <c r="D142" s="93" t="s">
        <v>105</v>
      </c>
      <c r="E142" s="93"/>
      <c r="F142" s="93"/>
      <c r="G142" s="93"/>
      <c r="H142" s="129"/>
      <c r="I142" s="93"/>
      <c r="J142" s="129"/>
      <c r="K142" s="129"/>
      <c r="L142" s="1728"/>
      <c r="M142" s="71"/>
      <c r="N142" s="1726"/>
      <c r="O142" s="1727"/>
      <c r="P142" s="1737"/>
      <c r="Q142" s="76"/>
      <c r="R142" s="76"/>
      <c r="S142" s="76"/>
      <c r="T142" s="1727"/>
      <c r="U142" s="1727"/>
      <c r="V142" s="71"/>
      <c r="W142" s="71"/>
      <c r="X142" s="71"/>
      <c r="Y142" s="129"/>
    </row>
    <row r="143" spans="1:25" ht="162" customHeight="1">
      <c r="A143" s="71"/>
      <c r="B143" s="111">
        <v>54020010005</v>
      </c>
      <c r="C143" s="112" t="s">
        <v>103</v>
      </c>
      <c r="D143" s="71" t="s">
        <v>3759</v>
      </c>
      <c r="E143" s="71"/>
      <c r="F143" s="71"/>
      <c r="G143" s="71"/>
      <c r="H143" s="111">
        <f>H145</f>
        <v>0</v>
      </c>
      <c r="I143" s="71"/>
      <c r="J143" s="111"/>
      <c r="K143" s="111"/>
      <c r="L143" s="1726"/>
      <c r="M143" s="71"/>
      <c r="N143" s="1726"/>
      <c r="O143" s="1727"/>
      <c r="P143" s="1732"/>
      <c r="Q143" s="76"/>
      <c r="R143" s="76"/>
      <c r="S143" s="76"/>
      <c r="T143" s="1727"/>
      <c r="U143" s="1727"/>
      <c r="V143" s="71"/>
      <c r="W143" s="71"/>
      <c r="X143" s="71"/>
      <c r="Y143" s="111"/>
    </row>
    <row r="144" spans="1:25" ht="94.5" customHeight="1">
      <c r="A144" s="2853">
        <v>4162</v>
      </c>
      <c r="B144" s="128"/>
      <c r="C144" s="2995" t="s">
        <v>109</v>
      </c>
      <c r="D144" s="2921" t="s">
        <v>3760</v>
      </c>
      <c r="E144" s="92" t="s">
        <v>3761</v>
      </c>
      <c r="F144" s="92"/>
      <c r="G144" s="92"/>
      <c r="H144" s="128"/>
      <c r="I144" s="92"/>
      <c r="J144" s="128"/>
      <c r="K144" s="128"/>
      <c r="L144" s="1729">
        <f>SUM(L145:L147)</f>
        <v>1</v>
      </c>
      <c r="M144" s="76">
        <f>SUM(M145:M147)</f>
        <v>8</v>
      </c>
      <c r="N144" s="1726">
        <f>SUM(N145:N147)</f>
        <v>0.47</v>
      </c>
      <c r="O144" s="3246">
        <f>IF(Q144&gt;0,N144,"na")</f>
        <v>0.47</v>
      </c>
      <c r="P144" s="97">
        <f>SUM(P145:P147)</f>
        <v>5800908108</v>
      </c>
      <c r="Q144" s="97">
        <f t="shared" ref="Q144:S144" si="53">SUM(Q145:Q147)</f>
        <v>5800908108</v>
      </c>
      <c r="R144" s="97">
        <f t="shared" si="53"/>
        <v>4536313500</v>
      </c>
      <c r="S144" s="97">
        <f t="shared" si="53"/>
        <v>2907553500</v>
      </c>
      <c r="T144" s="1727">
        <f t="shared" si="36"/>
        <v>0.78200057914104781</v>
      </c>
      <c r="U144" s="1727">
        <f t="shared" si="36"/>
        <v>0.64095074116901307</v>
      </c>
      <c r="V144" s="71"/>
      <c r="W144" s="71"/>
      <c r="X144" s="71"/>
      <c r="Y144" s="128"/>
    </row>
    <row r="145" spans="1:25" ht="202.5" customHeight="1">
      <c r="A145" s="2969"/>
      <c r="B145" s="128"/>
      <c r="C145" s="3204"/>
      <c r="D145" s="3248"/>
      <c r="E145" s="92" t="s">
        <v>3762</v>
      </c>
      <c r="F145" s="92"/>
      <c r="G145" s="2921" t="s">
        <v>3763</v>
      </c>
      <c r="H145" s="2853">
        <v>0</v>
      </c>
      <c r="I145" s="92" t="s">
        <v>3764</v>
      </c>
      <c r="J145" s="110" t="s">
        <v>3765</v>
      </c>
      <c r="K145" s="128">
        <v>6</v>
      </c>
      <c r="L145" s="1729">
        <v>0.52</v>
      </c>
      <c r="M145" s="216">
        <v>3</v>
      </c>
      <c r="N145" s="1729">
        <f>(M145/K145)*L145</f>
        <v>0.26</v>
      </c>
      <c r="O145" s="3249"/>
      <c r="P145" s="97">
        <v>3041340032</v>
      </c>
      <c r="Q145" s="97">
        <v>3041340032</v>
      </c>
      <c r="R145" s="216">
        <v>2907968500</v>
      </c>
      <c r="S145" s="216">
        <v>2090805500</v>
      </c>
      <c r="T145" s="1730">
        <f t="shared" si="36"/>
        <v>0.9561471158776369</v>
      </c>
      <c r="U145" s="1730">
        <f t="shared" si="36"/>
        <v>0.7189917978822673</v>
      </c>
      <c r="V145" s="1731">
        <v>45309</v>
      </c>
      <c r="W145" s="1731">
        <v>45657</v>
      </c>
      <c r="X145" s="92" t="s">
        <v>5508</v>
      </c>
      <c r="Y145" s="2853" t="s">
        <v>3766</v>
      </c>
    </row>
    <row r="146" spans="1:25" ht="175.5">
      <c r="A146" s="2969"/>
      <c r="B146" s="128"/>
      <c r="C146" s="3204"/>
      <c r="D146" s="3248"/>
      <c r="E146" s="92" t="s">
        <v>3767</v>
      </c>
      <c r="F146" s="92"/>
      <c r="G146" s="3248"/>
      <c r="H146" s="2969"/>
      <c r="I146" s="92" t="s">
        <v>3768</v>
      </c>
      <c r="J146" s="110" t="s">
        <v>463</v>
      </c>
      <c r="K146" s="128">
        <v>3</v>
      </c>
      <c r="L146" s="1729">
        <v>0.18</v>
      </c>
      <c r="M146" s="216">
        <v>3</v>
      </c>
      <c r="N146" s="1729">
        <f>((M146/K146)*L146)/2</f>
        <v>0.09</v>
      </c>
      <c r="O146" s="3249"/>
      <c r="P146" s="97">
        <v>1044246528</v>
      </c>
      <c r="Q146" s="97">
        <v>1044246528</v>
      </c>
      <c r="R146" s="216">
        <v>998512000</v>
      </c>
      <c r="S146" s="216">
        <v>383539000</v>
      </c>
      <c r="T146" s="1730">
        <f t="shared" si="36"/>
        <v>0.95620332289962851</v>
      </c>
      <c r="U146" s="1730">
        <f t="shared" si="36"/>
        <v>0.38411055650808401</v>
      </c>
      <c r="V146" s="1731">
        <v>45388</v>
      </c>
      <c r="W146" s="1731">
        <v>45657</v>
      </c>
      <c r="X146" s="92" t="s">
        <v>5509</v>
      </c>
      <c r="Y146" s="2969"/>
    </row>
    <row r="147" spans="1:25" ht="16.5" customHeight="1">
      <c r="A147" s="2970"/>
      <c r="B147" s="128"/>
      <c r="C147" s="3205"/>
      <c r="D147" s="3245"/>
      <c r="E147" s="92" t="s">
        <v>3769</v>
      </c>
      <c r="F147" s="92"/>
      <c r="G147" s="3245"/>
      <c r="H147" s="2970"/>
      <c r="I147" s="92" t="s">
        <v>3770</v>
      </c>
      <c r="J147" s="110" t="s">
        <v>3771</v>
      </c>
      <c r="K147" s="128">
        <v>5</v>
      </c>
      <c r="L147" s="1729">
        <v>0.3</v>
      </c>
      <c r="M147" s="216">
        <v>2</v>
      </c>
      <c r="N147" s="1729">
        <f>(M147/K147)*L147</f>
        <v>0.12</v>
      </c>
      <c r="O147" s="3247"/>
      <c r="P147" s="97">
        <v>1715321548</v>
      </c>
      <c r="Q147" s="97">
        <v>1715321548</v>
      </c>
      <c r="R147" s="216">
        <v>629833000</v>
      </c>
      <c r="S147" s="216">
        <v>433209000</v>
      </c>
      <c r="T147" s="1730">
        <f t="shared" si="36"/>
        <v>0.36718071940177133</v>
      </c>
      <c r="U147" s="1730">
        <f t="shared" si="36"/>
        <v>0.68781565907153164</v>
      </c>
      <c r="V147" s="1731">
        <v>45309</v>
      </c>
      <c r="W147" s="1731">
        <v>45657</v>
      </c>
      <c r="X147" s="92" t="s">
        <v>5510</v>
      </c>
      <c r="Y147" s="2970"/>
    </row>
    <row r="148" spans="1:25" ht="16.5" customHeight="1">
      <c r="A148" s="93"/>
      <c r="B148" s="129">
        <v>5402002</v>
      </c>
      <c r="C148" s="115" t="s">
        <v>102</v>
      </c>
      <c r="D148" s="93" t="s">
        <v>527</v>
      </c>
      <c r="E148" s="93"/>
      <c r="F148" s="93"/>
      <c r="G148" s="93"/>
      <c r="H148" s="129"/>
      <c r="I148" s="93"/>
      <c r="J148" s="129"/>
      <c r="K148" s="129"/>
      <c r="L148" s="1728"/>
      <c r="M148" s="1727"/>
      <c r="N148" s="1726"/>
      <c r="O148" s="1735"/>
      <c r="P148" s="1737"/>
      <c r="Q148" s="76"/>
      <c r="R148" s="76"/>
      <c r="S148" s="76"/>
      <c r="T148" s="1727"/>
      <c r="U148" s="1727"/>
      <c r="V148" s="71"/>
      <c r="W148" s="71"/>
      <c r="X148" s="71"/>
      <c r="Y148" s="129"/>
    </row>
    <row r="149" spans="1:25" ht="135" customHeight="1">
      <c r="A149" s="71"/>
      <c r="B149" s="111">
        <v>54020020017</v>
      </c>
      <c r="C149" s="112" t="s">
        <v>103</v>
      </c>
      <c r="D149" s="71" t="s">
        <v>3772</v>
      </c>
      <c r="E149" s="71"/>
      <c r="F149" s="71"/>
      <c r="G149" s="71"/>
      <c r="H149" s="111">
        <f>H151</f>
        <v>0</v>
      </c>
      <c r="I149" s="71"/>
      <c r="J149" s="111"/>
      <c r="K149" s="111"/>
      <c r="L149" s="1726"/>
      <c r="M149" s="76"/>
      <c r="N149" s="1726"/>
      <c r="O149" s="1735"/>
      <c r="P149" s="1732"/>
      <c r="Q149" s="76"/>
      <c r="R149" s="76"/>
      <c r="S149" s="76"/>
      <c r="T149" s="1727"/>
      <c r="U149" s="1727"/>
      <c r="V149" s="71"/>
      <c r="W149" s="71"/>
      <c r="X149" s="71"/>
      <c r="Y149" s="111"/>
    </row>
    <row r="150" spans="1:25" ht="16.5" customHeight="1">
      <c r="A150" s="2853">
        <v>4162</v>
      </c>
      <c r="B150" s="605"/>
      <c r="C150" s="2995" t="s">
        <v>109</v>
      </c>
      <c r="D150" s="2852" t="s">
        <v>3773</v>
      </c>
      <c r="E150" s="92" t="s">
        <v>3774</v>
      </c>
      <c r="F150" s="92"/>
      <c r="G150" s="92"/>
      <c r="H150" s="128"/>
      <c r="I150" s="92"/>
      <c r="J150" s="128"/>
      <c r="K150" s="128"/>
      <c r="L150" s="1729">
        <f>SUM(L151)</f>
        <v>1</v>
      </c>
      <c r="M150" s="76">
        <f>M151</f>
        <v>0</v>
      </c>
      <c r="N150" s="1726">
        <f>N151</f>
        <v>0.35</v>
      </c>
      <c r="O150" s="3246">
        <f>IF(Q150&gt;0,N150,"na")</f>
        <v>0.35</v>
      </c>
      <c r="P150" s="97">
        <f>SUM(P151)</f>
        <v>600000000</v>
      </c>
      <c r="Q150" s="97">
        <f t="shared" ref="Q150:S150" si="54">SUM(Q151)</f>
        <v>600000000</v>
      </c>
      <c r="R150" s="97">
        <f t="shared" si="54"/>
        <v>186173500</v>
      </c>
      <c r="S150" s="97">
        <f t="shared" si="54"/>
        <v>100418500</v>
      </c>
      <c r="T150" s="1727">
        <f t="shared" si="36"/>
        <v>0.31028916666666667</v>
      </c>
      <c r="U150" s="1727">
        <f t="shared" si="36"/>
        <v>0.53938127606775399</v>
      </c>
      <c r="V150" s="71"/>
      <c r="W150" s="71"/>
      <c r="X150" s="71"/>
      <c r="Y150" s="128"/>
    </row>
    <row r="151" spans="1:25" s="45" customFormat="1" ht="13.9" customHeight="1">
      <c r="A151" s="2970"/>
      <c r="B151" s="605"/>
      <c r="C151" s="3205"/>
      <c r="D151" s="3252"/>
      <c r="E151" s="92" t="s">
        <v>3775</v>
      </c>
      <c r="F151" s="92"/>
      <c r="G151" s="92" t="s">
        <v>3772</v>
      </c>
      <c r="H151" s="89">
        <f>M151</f>
        <v>0</v>
      </c>
      <c r="I151" s="92" t="s">
        <v>3776</v>
      </c>
      <c r="J151" s="110" t="s">
        <v>124</v>
      </c>
      <c r="K151" s="128">
        <v>1</v>
      </c>
      <c r="L151" s="1729">
        <v>1</v>
      </c>
      <c r="M151" s="216">
        <v>0</v>
      </c>
      <c r="N151" s="1729">
        <v>0.35</v>
      </c>
      <c r="O151" s="3247"/>
      <c r="P151" s="97">
        <v>600000000</v>
      </c>
      <c r="Q151" s="97">
        <v>600000000</v>
      </c>
      <c r="R151" s="216">
        <v>186173500</v>
      </c>
      <c r="S151" s="216">
        <v>100418500</v>
      </c>
      <c r="T151" s="1730">
        <f t="shared" si="36"/>
        <v>0.31028916666666667</v>
      </c>
      <c r="U151" s="1730">
        <f t="shared" si="36"/>
        <v>0.53938127606775399</v>
      </c>
      <c r="V151" s="1731">
        <v>45310</v>
      </c>
      <c r="W151" s="1731">
        <v>45657</v>
      </c>
      <c r="X151" s="92" t="s">
        <v>5511</v>
      </c>
      <c r="Y151" s="128" t="s">
        <v>3766</v>
      </c>
    </row>
    <row r="152" spans="1:25" s="45" customFormat="1" ht="13.9" customHeight="1">
      <c r="A152" s="92"/>
      <c r="B152" s="128"/>
      <c r="C152" s="128"/>
      <c r="D152" s="92"/>
      <c r="E152" s="92"/>
      <c r="F152" s="92"/>
      <c r="G152" s="92"/>
      <c r="H152" s="128"/>
      <c r="I152" s="92"/>
      <c r="J152" s="128"/>
      <c r="K152" s="128"/>
      <c r="L152" s="1729"/>
      <c r="M152" s="216"/>
      <c r="N152" s="1729"/>
      <c r="O152" s="110"/>
      <c r="P152" s="97"/>
      <c r="Q152" s="216"/>
      <c r="R152" s="216"/>
      <c r="S152" s="216"/>
      <c r="T152" s="1730"/>
      <c r="U152" s="1730"/>
      <c r="V152" s="92"/>
      <c r="W152" s="92"/>
      <c r="X152" s="92"/>
      <c r="Y152" s="128"/>
    </row>
    <row r="153" spans="1:25" ht="27">
      <c r="A153" s="92"/>
      <c r="B153" s="128" t="s">
        <v>109</v>
      </c>
      <c r="C153" s="89">
        <f>COUNTIF(C7:C152,"pr")</f>
        <v>52</v>
      </c>
      <c r="D153" s="92"/>
      <c r="E153" s="92" t="s">
        <v>112</v>
      </c>
      <c r="F153" s="92"/>
      <c r="G153" s="92">
        <f>COUNTIF(O7:O151,"na")</f>
        <v>0</v>
      </c>
      <c r="H153" s="128"/>
      <c r="I153" s="92"/>
      <c r="J153" s="128"/>
      <c r="K153" s="128"/>
      <c r="L153" s="1729"/>
      <c r="M153" s="216"/>
      <c r="N153" s="2306" t="s">
        <v>503</v>
      </c>
      <c r="O153" s="1254">
        <f>AVERAGE(O11:O151)</f>
        <v>7.176727395411607E-2</v>
      </c>
      <c r="P153" s="97">
        <f>SUM(P11+P13+P15+P17+P19+P21+P23+P25+P27+P29+P31+P34+P42+P46+P49+P53+P55+P57+P59+P61+P63+P65+P67+P69+P71+P73+P75+P77+P79+P81+P84+P90+P94+P100+P103+P106+P109+P112+P114+P116+P118+P120+P122+P124+P126+P128+P130+P132+P134+P138+P144+P150)</f>
        <v>68046629056</v>
      </c>
      <c r="Q153" s="97">
        <f t="shared" ref="Q153:S153" si="55">SUM(Q11+Q13+Q15+Q17+Q19+Q21+Q23+Q25+Q27+Q29+Q31+Q34+Q42+Q46+Q49+Q53+Q55+Q57+Q59+Q61+Q63+Q65+Q67+Q69+Q71+Q73+Q75+Q77+Q79+Q81+Q84+Q90+Q94+Q100+Q103+Q106+Q109+Q112+Q114+Q116+Q118+Q120+Q122+Q124+Q126+Q128+Q130+Q132+Q134+Q138+Q144+Q150)</f>
        <v>99236966695</v>
      </c>
      <c r="R153" s="97">
        <f t="shared" si="55"/>
        <v>45924286250</v>
      </c>
      <c r="S153" s="97">
        <f t="shared" si="55"/>
        <v>11526918057</v>
      </c>
      <c r="T153" s="1730">
        <f t="shared" ref="T153:U154" si="56">+IF(Q153=0,0,R153/Q153)</f>
        <v>0.4627739821103769</v>
      </c>
      <c r="U153" s="1730">
        <f t="shared" si="56"/>
        <v>0.25099830608690188</v>
      </c>
      <c r="V153" s="92"/>
      <c r="W153" s="92"/>
      <c r="X153" s="92"/>
      <c r="Y153" s="128"/>
    </row>
    <row r="154" spans="1:25" ht="40.5">
      <c r="A154" s="92"/>
      <c r="H154" s="128"/>
      <c r="I154" s="92"/>
      <c r="J154" s="128"/>
      <c r="K154" s="128"/>
      <c r="L154" s="1739"/>
      <c r="M154" s="216"/>
      <c r="N154" s="1331" t="s">
        <v>119</v>
      </c>
      <c r="O154" s="128">
        <f>COUNTIF(O11:O151,"=0%")</f>
        <v>39</v>
      </c>
      <c r="P154" s="97">
        <v>68046629056</v>
      </c>
      <c r="Q154" s="216">
        <v>99236966695</v>
      </c>
      <c r="R154" s="216">
        <v>45924286250</v>
      </c>
      <c r="S154" s="216">
        <v>11526918057</v>
      </c>
      <c r="T154" s="1730">
        <f t="shared" si="56"/>
        <v>0.4627739821103769</v>
      </c>
      <c r="U154" s="1730">
        <f t="shared" si="56"/>
        <v>0.25099830608690188</v>
      </c>
      <c r="V154" s="92"/>
      <c r="W154" s="92"/>
      <c r="X154" s="92"/>
      <c r="Y154" s="128"/>
    </row>
    <row r="155" spans="1:25">
      <c r="A155" s="92"/>
      <c r="B155" s="128"/>
      <c r="C155" s="89"/>
      <c r="D155" s="92"/>
      <c r="E155" s="92"/>
      <c r="F155" s="92"/>
      <c r="G155" s="92"/>
      <c r="H155" s="128"/>
      <c r="I155" s="92"/>
      <c r="J155" s="128"/>
      <c r="K155" s="128"/>
      <c r="L155" s="662"/>
      <c r="M155" s="92"/>
      <c r="N155" s="1729"/>
      <c r="O155" s="92"/>
      <c r="P155" s="1740">
        <f>P153-P154</f>
        <v>0</v>
      </c>
      <c r="Q155" s="1740">
        <f t="shared" ref="Q155:S155" si="57">Q153-Q154</f>
        <v>0</v>
      </c>
      <c r="R155" s="1740">
        <f t="shared" si="57"/>
        <v>0</v>
      </c>
      <c r="S155" s="1740">
        <f t="shared" si="57"/>
        <v>0</v>
      </c>
      <c r="T155" s="1741"/>
      <c r="U155" s="1741"/>
      <c r="V155" s="92"/>
      <c r="W155" s="92"/>
      <c r="X155" s="92"/>
      <c r="Y155" s="92"/>
    </row>
    <row r="156" spans="1:25" ht="16.5" customHeight="1">
      <c r="A156" s="92"/>
      <c r="B156" s="128"/>
      <c r="C156" s="89"/>
      <c r="D156" s="92"/>
      <c r="E156" s="92"/>
      <c r="F156" s="92"/>
      <c r="G156" s="92"/>
      <c r="H156" s="128"/>
      <c r="I156" s="92"/>
      <c r="J156" s="128"/>
      <c r="K156" s="128"/>
      <c r="M156" s="2308"/>
      <c r="P156" s="216"/>
      <c r="Q156" s="216"/>
      <c r="R156" s="216"/>
      <c r="S156" s="216"/>
      <c r="T156" s="1730"/>
      <c r="U156" s="1730"/>
      <c r="V156" s="92"/>
      <c r="W156" s="92"/>
      <c r="X156" s="92"/>
      <c r="Y156" s="92"/>
    </row>
    <row r="157" spans="1:25">
      <c r="A157" s="92"/>
      <c r="D157" s="92"/>
      <c r="E157" s="92"/>
      <c r="F157" s="92"/>
      <c r="G157" s="92"/>
      <c r="H157" s="128"/>
      <c r="I157" s="92"/>
      <c r="J157" s="128"/>
      <c r="K157" s="128"/>
      <c r="M157" s="2307"/>
      <c r="P157" s="216"/>
      <c r="Q157" s="216"/>
      <c r="R157" s="216"/>
      <c r="S157" s="216"/>
      <c r="T157" s="1730"/>
      <c r="U157" s="1730"/>
      <c r="V157" s="92"/>
      <c r="W157" s="92"/>
      <c r="X157" s="92"/>
      <c r="Y157" s="92"/>
    </row>
    <row r="158" spans="1:25">
      <c r="A158" s="1225"/>
      <c r="B158" s="1225"/>
      <c r="C158" s="1225"/>
      <c r="D158" s="1280"/>
      <c r="E158" s="1278"/>
      <c r="F158" s="1280"/>
      <c r="G158" s="1280"/>
      <c r="H158" s="1280"/>
      <c r="I158" s="1280"/>
      <c r="J158" s="1280"/>
      <c r="K158" s="1280"/>
      <c r="P158" s="216"/>
      <c r="Q158" s="216"/>
      <c r="R158" s="216"/>
      <c r="S158" s="216"/>
      <c r="T158" s="1730"/>
      <c r="U158" s="1730"/>
      <c r="V158" s="92"/>
      <c r="W158" s="92"/>
      <c r="X158" s="92"/>
      <c r="Y158" s="92"/>
    </row>
    <row r="159" spans="1:25">
      <c r="A159" s="92"/>
      <c r="B159" s="128"/>
      <c r="C159" s="89"/>
      <c r="D159" s="92"/>
      <c r="E159" s="92"/>
      <c r="F159" s="92"/>
      <c r="G159" s="92"/>
      <c r="H159" s="128"/>
      <c r="I159" s="92"/>
      <c r="J159" s="128"/>
      <c r="K159" s="128"/>
      <c r="L159" s="3254"/>
      <c r="M159" s="3255"/>
      <c r="N159" s="3256"/>
      <c r="O159" s="1254"/>
      <c r="P159" s="216"/>
      <c r="Q159" s="216"/>
      <c r="R159" s="216"/>
      <c r="S159" s="216"/>
      <c r="T159" s="1730"/>
      <c r="U159" s="1730"/>
      <c r="V159" s="92"/>
      <c r="W159" s="92"/>
      <c r="X159" s="92"/>
      <c r="Y159" s="92"/>
    </row>
    <row r="160" spans="1:25">
      <c r="A160" s="92"/>
      <c r="B160" s="1225"/>
      <c r="C160" s="1225"/>
      <c r="D160" s="1280"/>
      <c r="E160" s="1278"/>
      <c r="F160" s="1280"/>
      <c r="G160" s="1280"/>
      <c r="H160" s="1280"/>
      <c r="I160" s="1280"/>
      <c r="J160" s="1280"/>
      <c r="K160" s="1280"/>
      <c r="L160" s="3257"/>
      <c r="M160" s="3258"/>
      <c r="N160" s="3259"/>
      <c r="O160" s="128"/>
      <c r="P160" s="216"/>
      <c r="Q160" s="216"/>
      <c r="R160" s="216"/>
      <c r="S160" s="216"/>
      <c r="T160" s="1730"/>
      <c r="U160" s="1730"/>
      <c r="V160" s="92"/>
      <c r="W160" s="92"/>
      <c r="X160" s="92"/>
      <c r="Y160" s="92"/>
    </row>
  </sheetData>
  <autoFilter ref="A5:Y6" xr:uid="{00000000-0009-0000-0000-000014000000}"/>
  <mergeCells count="260">
    <mergeCell ref="L159:N159"/>
    <mergeCell ref="L160:N160"/>
    <mergeCell ref="A134:A135"/>
    <mergeCell ref="C134:C135"/>
    <mergeCell ref="D134:D135"/>
    <mergeCell ref="O134:O135"/>
    <mergeCell ref="A138:A139"/>
    <mergeCell ref="C138:C139"/>
    <mergeCell ref="D138:D139"/>
    <mergeCell ref="O138:O139"/>
    <mergeCell ref="A144:A147"/>
    <mergeCell ref="C144:C147"/>
    <mergeCell ref="D144:D147"/>
    <mergeCell ref="O144:O147"/>
    <mergeCell ref="G145:G147"/>
    <mergeCell ref="H145:H147"/>
    <mergeCell ref="Y145:Y147"/>
    <mergeCell ref="A150:A151"/>
    <mergeCell ref="C150:C151"/>
    <mergeCell ref="D150:D151"/>
    <mergeCell ref="O150:O151"/>
    <mergeCell ref="A130:A131"/>
    <mergeCell ref="C130:C131"/>
    <mergeCell ref="D130:D131"/>
    <mergeCell ref="O130:O131"/>
    <mergeCell ref="A132:A133"/>
    <mergeCell ref="C132:C133"/>
    <mergeCell ref="D132:D133"/>
    <mergeCell ref="O132:O133"/>
    <mergeCell ref="A126:A127"/>
    <mergeCell ref="C126:C127"/>
    <mergeCell ref="D126:D127"/>
    <mergeCell ref="O126:O127"/>
    <mergeCell ref="A128:A129"/>
    <mergeCell ref="C128:C129"/>
    <mergeCell ref="D128:D129"/>
    <mergeCell ref="O128:O129"/>
    <mergeCell ref="A122:A123"/>
    <mergeCell ref="C122:C123"/>
    <mergeCell ref="D122:D123"/>
    <mergeCell ref="O122:O123"/>
    <mergeCell ref="A124:A125"/>
    <mergeCell ref="C124:C125"/>
    <mergeCell ref="D124:D125"/>
    <mergeCell ref="O124:O125"/>
    <mergeCell ref="A118:A119"/>
    <mergeCell ref="C118:C119"/>
    <mergeCell ref="D118:D119"/>
    <mergeCell ref="O118:O119"/>
    <mergeCell ref="A120:A121"/>
    <mergeCell ref="C120:C121"/>
    <mergeCell ref="D120:D121"/>
    <mergeCell ref="O120:O121"/>
    <mergeCell ref="A114:A115"/>
    <mergeCell ref="C114:C115"/>
    <mergeCell ref="D114:D115"/>
    <mergeCell ref="O114:O115"/>
    <mergeCell ref="A116:A117"/>
    <mergeCell ref="C116:C117"/>
    <mergeCell ref="D116:D117"/>
    <mergeCell ref="O116:O117"/>
    <mergeCell ref="Y110:Y111"/>
    <mergeCell ref="A112:A113"/>
    <mergeCell ref="C112:C113"/>
    <mergeCell ref="D112:D113"/>
    <mergeCell ref="O112:O113"/>
    <mergeCell ref="A109:A111"/>
    <mergeCell ref="C109:C111"/>
    <mergeCell ref="D109:D111"/>
    <mergeCell ref="O109:O111"/>
    <mergeCell ref="G110:G111"/>
    <mergeCell ref="Y104:Y105"/>
    <mergeCell ref="A106:A108"/>
    <mergeCell ref="C106:C108"/>
    <mergeCell ref="D106:D108"/>
    <mergeCell ref="O106:O108"/>
    <mergeCell ref="G107:G108"/>
    <mergeCell ref="Y107:Y108"/>
    <mergeCell ref="A103:A105"/>
    <mergeCell ref="C103:C105"/>
    <mergeCell ref="D103:D105"/>
    <mergeCell ref="O103:O105"/>
    <mergeCell ref="G104:G105"/>
    <mergeCell ref="Y95:Y96"/>
    <mergeCell ref="A100:A102"/>
    <mergeCell ref="C100:C102"/>
    <mergeCell ref="D100:D102"/>
    <mergeCell ref="O100:O102"/>
    <mergeCell ref="G101:G102"/>
    <mergeCell ref="H101:H102"/>
    <mergeCell ref="Y101:Y102"/>
    <mergeCell ref="A90:A91"/>
    <mergeCell ref="C90:C91"/>
    <mergeCell ref="D90:D91"/>
    <mergeCell ref="O90:O91"/>
    <mergeCell ref="A94:A96"/>
    <mergeCell ref="C94:C96"/>
    <mergeCell ref="D94:D96"/>
    <mergeCell ref="O94:O96"/>
    <mergeCell ref="A84:A87"/>
    <mergeCell ref="C84:C87"/>
    <mergeCell ref="D84:D87"/>
    <mergeCell ref="O84:O87"/>
    <mergeCell ref="Y85:Y87"/>
    <mergeCell ref="A79:A80"/>
    <mergeCell ref="C79:C80"/>
    <mergeCell ref="D79:D80"/>
    <mergeCell ref="O79:O80"/>
    <mergeCell ref="A81:A82"/>
    <mergeCell ref="C81:C82"/>
    <mergeCell ref="D81:D82"/>
    <mergeCell ref="O81:O82"/>
    <mergeCell ref="A75:A76"/>
    <mergeCell ref="C75:C76"/>
    <mergeCell ref="D75:D76"/>
    <mergeCell ref="O75:O76"/>
    <mergeCell ref="A77:A78"/>
    <mergeCell ref="C77:C78"/>
    <mergeCell ref="D77:D78"/>
    <mergeCell ref="O77:O78"/>
    <mergeCell ref="A71:A72"/>
    <mergeCell ref="C71:C72"/>
    <mergeCell ref="D71:D72"/>
    <mergeCell ref="O71:O72"/>
    <mergeCell ref="A73:A74"/>
    <mergeCell ref="C73:C74"/>
    <mergeCell ref="D73:D74"/>
    <mergeCell ref="O73:O74"/>
    <mergeCell ref="A67:A68"/>
    <mergeCell ref="C67:C68"/>
    <mergeCell ref="D67:D68"/>
    <mergeCell ref="O67:O68"/>
    <mergeCell ref="A69:A70"/>
    <mergeCell ref="C69:C70"/>
    <mergeCell ref="D69:D70"/>
    <mergeCell ref="O69:O70"/>
    <mergeCell ref="A63:A64"/>
    <mergeCell ref="C63:C64"/>
    <mergeCell ref="D63:D64"/>
    <mergeCell ref="O63:O64"/>
    <mergeCell ref="A65:A66"/>
    <mergeCell ref="C65:C66"/>
    <mergeCell ref="D65:D66"/>
    <mergeCell ref="O65:O66"/>
    <mergeCell ref="A59:A60"/>
    <mergeCell ref="C59:C60"/>
    <mergeCell ref="D59:D60"/>
    <mergeCell ref="O59:O60"/>
    <mergeCell ref="A61:A62"/>
    <mergeCell ref="C61:C62"/>
    <mergeCell ref="D61:D62"/>
    <mergeCell ref="O61:O62"/>
    <mergeCell ref="A55:A56"/>
    <mergeCell ref="C55:C56"/>
    <mergeCell ref="D55:D56"/>
    <mergeCell ref="O55:O56"/>
    <mergeCell ref="A57:A58"/>
    <mergeCell ref="C57:C58"/>
    <mergeCell ref="D57:D58"/>
    <mergeCell ref="O57:O58"/>
    <mergeCell ref="Y50:Y52"/>
    <mergeCell ref="A53:A54"/>
    <mergeCell ref="C53:C54"/>
    <mergeCell ref="D53:D54"/>
    <mergeCell ref="O53:O54"/>
    <mergeCell ref="A46:A47"/>
    <mergeCell ref="C46:C47"/>
    <mergeCell ref="D46:D47"/>
    <mergeCell ref="O46:O47"/>
    <mergeCell ref="A49:A52"/>
    <mergeCell ref="C49:C52"/>
    <mergeCell ref="D49:D52"/>
    <mergeCell ref="O49:O52"/>
    <mergeCell ref="G50:G52"/>
    <mergeCell ref="Y35:Y37"/>
    <mergeCell ref="A42:A43"/>
    <mergeCell ref="C42:C43"/>
    <mergeCell ref="D42:D43"/>
    <mergeCell ref="O42:O43"/>
    <mergeCell ref="A31:A32"/>
    <mergeCell ref="C31:C32"/>
    <mergeCell ref="D31:D32"/>
    <mergeCell ref="O31:O32"/>
    <mergeCell ref="A34:A37"/>
    <mergeCell ref="C34:C37"/>
    <mergeCell ref="D34:D37"/>
    <mergeCell ref="O34:O37"/>
    <mergeCell ref="G35:G36"/>
    <mergeCell ref="A27:A28"/>
    <mergeCell ref="C27:C28"/>
    <mergeCell ref="D27:D28"/>
    <mergeCell ref="O27:O28"/>
    <mergeCell ref="A29:A30"/>
    <mergeCell ref="C29:C30"/>
    <mergeCell ref="D29:D30"/>
    <mergeCell ref="O29:O30"/>
    <mergeCell ref="A23:A24"/>
    <mergeCell ref="C23:C24"/>
    <mergeCell ref="D23:D24"/>
    <mergeCell ref="O23:O24"/>
    <mergeCell ref="A25:A26"/>
    <mergeCell ref="C25:C26"/>
    <mergeCell ref="D25:D26"/>
    <mergeCell ref="O25:O26"/>
    <mergeCell ref="A19:A20"/>
    <mergeCell ref="C19:C20"/>
    <mergeCell ref="D19:D20"/>
    <mergeCell ref="O19:O20"/>
    <mergeCell ref="A21:A22"/>
    <mergeCell ref="C21:C22"/>
    <mergeCell ref="D21:D22"/>
    <mergeCell ref="O21:O22"/>
    <mergeCell ref="A15:A16"/>
    <mergeCell ref="C15:C16"/>
    <mergeCell ref="D15:D16"/>
    <mergeCell ref="O15:O16"/>
    <mergeCell ref="A17:A18"/>
    <mergeCell ref="C17:C18"/>
    <mergeCell ref="D17:D18"/>
    <mergeCell ref="O17:O18"/>
    <mergeCell ref="A11:A12"/>
    <mergeCell ref="C11:C12"/>
    <mergeCell ref="D11:D12"/>
    <mergeCell ref="O11:O12"/>
    <mergeCell ref="A13:A14"/>
    <mergeCell ref="C13:C14"/>
    <mergeCell ref="D13:D14"/>
    <mergeCell ref="O13:O14"/>
    <mergeCell ref="A1:X1"/>
    <mergeCell ref="Q5:Q6"/>
    <mergeCell ref="R5:R6"/>
    <mergeCell ref="A2:Y2"/>
    <mergeCell ref="A3:B3"/>
    <mergeCell ref="S3:U3"/>
    <mergeCell ref="V3:W3"/>
    <mergeCell ref="W5:W6"/>
    <mergeCell ref="X5:X6"/>
    <mergeCell ref="E5:E6"/>
    <mergeCell ref="F5:F6"/>
    <mergeCell ref="C3:R3"/>
    <mergeCell ref="T5:T6"/>
    <mergeCell ref="U5:U6"/>
    <mergeCell ref="V5:V6"/>
    <mergeCell ref="C5:C6"/>
    <mergeCell ref="B5:B6"/>
    <mergeCell ref="J5:J6"/>
    <mergeCell ref="H5:H6"/>
    <mergeCell ref="A4:Y4"/>
    <mergeCell ref="D5:D6"/>
    <mergeCell ref="Y5:Y6"/>
    <mergeCell ref="O5:O6"/>
    <mergeCell ref="S5:S6"/>
    <mergeCell ref="A5:A6"/>
    <mergeCell ref="P5:P6"/>
    <mergeCell ref="M5:M6"/>
    <mergeCell ref="G5:G6"/>
    <mergeCell ref="K5:K6"/>
    <mergeCell ref="L5:L6"/>
    <mergeCell ref="N5:N6"/>
    <mergeCell ref="I5:I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55"/>
  <sheetViews>
    <sheetView topLeftCell="A48" zoomScale="70" zoomScaleNormal="70" zoomScaleSheetLayoutView="100" workbookViewId="0">
      <selection activeCell="C54" sqref="C54"/>
    </sheetView>
  </sheetViews>
  <sheetFormatPr baseColWidth="10" defaultColWidth="11.42578125" defaultRowHeight="16.5"/>
  <cols>
    <col min="1" max="1" width="13" style="2" customWidth="1"/>
    <col min="2" max="2" width="10.85546875" style="3" customWidth="1"/>
    <col min="3" max="3" width="8.5703125" style="2" customWidth="1"/>
    <col min="4" max="4" width="55" style="3" customWidth="1"/>
    <col min="5" max="5" width="24" style="3" bestFit="1" customWidth="1"/>
    <col min="6" max="8" width="12.42578125" style="3" customWidth="1"/>
    <col min="9" max="9" width="17.7109375" style="3" customWidth="1"/>
    <col min="10" max="10" width="17.5703125" style="2" customWidth="1"/>
    <col min="11" max="13" width="13.140625" style="16" customWidth="1"/>
    <col min="14" max="14" width="12.7109375" style="3" customWidth="1"/>
    <col min="15" max="15" width="11.7109375" style="2" customWidth="1"/>
    <col min="16" max="16" width="14.28515625" style="3" customWidth="1"/>
    <col min="17" max="17" width="14.140625" style="3" customWidth="1"/>
    <col min="18" max="18" width="18.85546875" style="3" customWidth="1"/>
    <col min="19" max="21" width="12.7109375" style="3" customWidth="1"/>
    <col min="22" max="23" width="10.7109375" style="3" customWidth="1"/>
    <col min="24" max="24" width="34" style="3" customWidth="1"/>
    <col min="25" max="25" width="17.140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48</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5"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8" t="s">
        <v>12</v>
      </c>
      <c r="O5" s="2838" t="s">
        <v>72</v>
      </c>
      <c r="P5" s="2839" t="s">
        <v>1</v>
      </c>
      <c r="Q5" s="2838" t="s">
        <v>13</v>
      </c>
      <c r="R5" s="2838" t="s">
        <v>14</v>
      </c>
      <c r="S5" s="2838" t="s">
        <v>16</v>
      </c>
      <c r="T5" s="2838" t="s">
        <v>15</v>
      </c>
      <c r="U5" s="2838" t="s">
        <v>89</v>
      </c>
      <c r="V5" s="2839" t="s">
        <v>6</v>
      </c>
      <c r="W5" s="2839" t="s">
        <v>7</v>
      </c>
      <c r="X5" s="2838" t="s">
        <v>0</v>
      </c>
      <c r="Y5" s="2838" t="s">
        <v>76</v>
      </c>
    </row>
    <row r="6" spans="1:25" ht="42.75" customHeight="1">
      <c r="A6" s="2836"/>
      <c r="B6" s="2836"/>
      <c r="C6" s="2836"/>
      <c r="D6" s="2836"/>
      <c r="E6" s="2836"/>
      <c r="F6" s="2836"/>
      <c r="G6" s="2836"/>
      <c r="H6" s="2836"/>
      <c r="I6" s="2836"/>
      <c r="J6" s="2836"/>
      <c r="K6" s="2836"/>
      <c r="L6" s="2836"/>
      <c r="M6" s="2838"/>
      <c r="N6" s="2838"/>
      <c r="O6" s="2838"/>
      <c r="P6" s="2839"/>
      <c r="Q6" s="2838"/>
      <c r="R6" s="2838"/>
      <c r="S6" s="2838"/>
      <c r="T6" s="2838"/>
      <c r="U6" s="2838"/>
      <c r="V6" s="2839"/>
      <c r="W6" s="2839"/>
      <c r="X6" s="2838"/>
      <c r="Y6" s="2838"/>
    </row>
    <row r="7" spans="1:25">
      <c r="A7" s="1742"/>
      <c r="B7" s="1743">
        <v>53</v>
      </c>
      <c r="C7" s="1743" t="s">
        <v>100</v>
      </c>
      <c r="D7" s="1744" t="s">
        <v>175</v>
      </c>
      <c r="E7" s="1745"/>
      <c r="F7" s="1742"/>
      <c r="G7" s="1742"/>
      <c r="H7" s="1742"/>
      <c r="I7" s="1742"/>
      <c r="J7" s="1742"/>
      <c r="K7" s="1742"/>
      <c r="L7" s="1742"/>
      <c r="M7" s="1746"/>
      <c r="N7" s="1747"/>
      <c r="O7" s="1747"/>
      <c r="P7" s="1748"/>
      <c r="Q7" s="1749"/>
      <c r="R7" s="1749"/>
      <c r="S7" s="1749"/>
      <c r="T7" s="1749"/>
      <c r="U7" s="1749"/>
      <c r="V7" s="1749"/>
      <c r="W7" s="1749"/>
      <c r="X7" s="1749"/>
      <c r="Y7" s="1749"/>
    </row>
    <row r="8" spans="1:25">
      <c r="A8" s="769"/>
      <c r="B8" s="770">
        <v>5305</v>
      </c>
      <c r="C8" s="770" t="s">
        <v>101</v>
      </c>
      <c r="D8" s="624" t="s">
        <v>955</v>
      </c>
      <c r="E8" s="771"/>
      <c r="F8" s="769"/>
      <c r="G8" s="769"/>
      <c r="H8" s="769"/>
      <c r="I8" s="769"/>
      <c r="J8" s="769"/>
      <c r="K8" s="769"/>
      <c r="L8" s="769"/>
      <c r="M8" s="279"/>
      <c r="N8" s="280"/>
      <c r="O8" s="280"/>
      <c r="P8" s="282"/>
      <c r="Q8" s="186"/>
      <c r="R8" s="186"/>
      <c r="S8" s="186"/>
      <c r="T8" s="186"/>
      <c r="U8" s="186"/>
      <c r="V8" s="186"/>
      <c r="W8" s="186"/>
      <c r="X8" s="186"/>
      <c r="Y8" s="186"/>
    </row>
    <row r="9" spans="1:25">
      <c r="A9" s="300"/>
      <c r="B9" s="341">
        <v>5305001</v>
      </c>
      <c r="C9" s="772" t="s">
        <v>102</v>
      </c>
      <c r="D9" s="623" t="s">
        <v>956</v>
      </c>
      <c r="E9" s="773"/>
      <c r="F9" s="300"/>
      <c r="G9" s="300"/>
      <c r="H9" s="300"/>
      <c r="I9" s="300"/>
      <c r="J9" s="300"/>
      <c r="K9" s="300"/>
      <c r="L9" s="300"/>
      <c r="M9" s="774"/>
      <c r="N9" s="775"/>
      <c r="O9" s="775"/>
      <c r="P9" s="364"/>
      <c r="Q9" s="186"/>
      <c r="R9" s="186"/>
      <c r="S9" s="186"/>
      <c r="T9" s="186"/>
      <c r="U9" s="186"/>
      <c r="V9" s="186"/>
      <c r="W9" s="186"/>
      <c r="X9" s="186"/>
      <c r="Y9" s="186"/>
    </row>
    <row r="10" spans="1:25" ht="25.5">
      <c r="A10" s="328"/>
      <c r="B10" s="278">
        <v>53050010001</v>
      </c>
      <c r="C10" s="278" t="s">
        <v>103</v>
      </c>
      <c r="D10" s="329" t="s">
        <v>3777</v>
      </c>
      <c r="E10" s="278"/>
      <c r="F10" s="336"/>
      <c r="G10" s="776"/>
      <c r="H10" s="336">
        <f>H11+H13</f>
        <v>905</v>
      </c>
      <c r="I10" s="277"/>
      <c r="J10" s="277"/>
      <c r="K10" s="777"/>
      <c r="L10" s="278"/>
      <c r="M10" s="279"/>
      <c r="N10" s="775"/>
      <c r="O10" s="775"/>
      <c r="P10" s="364"/>
      <c r="Q10" s="186"/>
      <c r="R10" s="186"/>
      <c r="S10" s="186"/>
      <c r="T10" s="186"/>
      <c r="U10" s="186"/>
      <c r="V10" s="186"/>
      <c r="W10" s="186"/>
      <c r="X10" s="186"/>
      <c r="Y10" s="186"/>
    </row>
    <row r="11" spans="1:25" ht="16.5" customHeight="1">
      <c r="A11" s="3260">
        <v>4163</v>
      </c>
      <c r="B11" s="3260"/>
      <c r="C11" s="3260" t="s">
        <v>109</v>
      </c>
      <c r="D11" s="3219" t="s">
        <v>3778</v>
      </c>
      <c r="E11" s="294" t="s">
        <v>3779</v>
      </c>
      <c r="F11" s="294"/>
      <c r="G11" s="778"/>
      <c r="H11" s="354">
        <f>SUM(H12:H12)</f>
        <v>905</v>
      </c>
      <c r="I11" s="285"/>
      <c r="J11" s="285"/>
      <c r="K11" s="286">
        <f>K12</f>
        <v>1500</v>
      </c>
      <c r="L11" s="287">
        <f>L12</f>
        <v>1</v>
      </c>
      <c r="M11" s="485"/>
      <c r="N11" s="779">
        <f>SUM(N12:N12)</f>
        <v>0.623</v>
      </c>
      <c r="O11" s="3261">
        <f>IF(Q11&gt;0, N11,"na")</f>
        <v>0.623</v>
      </c>
      <c r="P11" s="286">
        <f>SUM(P12:P12)</f>
        <v>1118937620</v>
      </c>
      <c r="Q11" s="286">
        <f>SUM(Q12:Q12)</f>
        <v>1118937620</v>
      </c>
      <c r="R11" s="286">
        <f>SUM(R12:R12)</f>
        <v>755991599</v>
      </c>
      <c r="S11" s="286">
        <f>SUM(S12:S12)</f>
        <v>350123779</v>
      </c>
      <c r="T11" s="780">
        <f t="shared" ref="T11:U15" si="0">IF(Q11=0,0,R11/Q11)</f>
        <v>0.67563337355660635</v>
      </c>
      <c r="U11" s="780">
        <f t="shared" si="0"/>
        <v>0.46313183832086474</v>
      </c>
      <c r="V11" s="186"/>
      <c r="W11" s="186"/>
      <c r="X11" s="353"/>
      <c r="Y11" s="2935" t="s">
        <v>3780</v>
      </c>
    </row>
    <row r="12" spans="1:25" ht="162">
      <c r="A12" s="3260"/>
      <c r="B12" s="3260"/>
      <c r="C12" s="3260"/>
      <c r="D12" s="3219"/>
      <c r="E12" s="294" t="s">
        <v>3781</v>
      </c>
      <c r="F12" s="294"/>
      <c r="G12" s="781" t="s">
        <v>3782</v>
      </c>
      <c r="H12" s="354">
        <v>905</v>
      </c>
      <c r="I12" s="285" t="s">
        <v>3783</v>
      </c>
      <c r="J12" s="285" t="s">
        <v>124</v>
      </c>
      <c r="K12" s="286">
        <v>1500</v>
      </c>
      <c r="L12" s="287">
        <v>1</v>
      </c>
      <c r="M12" s="485">
        <v>905</v>
      </c>
      <c r="N12" s="779">
        <v>0.623</v>
      </c>
      <c r="O12" s="3261"/>
      <c r="P12" s="286">
        <v>1118937620</v>
      </c>
      <c r="Q12" s="286">
        <v>1118937620</v>
      </c>
      <c r="R12" s="286">
        <v>755991599</v>
      </c>
      <c r="S12" s="286">
        <v>350123779</v>
      </c>
      <c r="T12" s="780">
        <f t="shared" si="0"/>
        <v>0.67563337355660635</v>
      </c>
      <c r="U12" s="780">
        <f t="shared" si="0"/>
        <v>0.46313183832086474</v>
      </c>
      <c r="V12" s="359">
        <v>45314</v>
      </c>
      <c r="W12" s="359">
        <v>45657</v>
      </c>
      <c r="X12" s="182" t="s">
        <v>5512</v>
      </c>
      <c r="Y12" s="2935"/>
    </row>
    <row r="13" spans="1:25">
      <c r="A13" s="3262">
        <v>4163</v>
      </c>
      <c r="B13" s="3262"/>
      <c r="C13" s="3262" t="s">
        <v>109</v>
      </c>
      <c r="D13" s="3265" t="s">
        <v>5513</v>
      </c>
      <c r="E13" s="294" t="s">
        <v>5514</v>
      </c>
      <c r="F13" s="294"/>
      <c r="G13" s="781"/>
      <c r="H13" s="354">
        <f>SUM(H14)</f>
        <v>0</v>
      </c>
      <c r="I13" s="285"/>
      <c r="J13" s="285"/>
      <c r="K13" s="286"/>
      <c r="L13" s="287"/>
      <c r="M13" s="485"/>
      <c r="N13" s="779">
        <f>SUM(N14:N15)</f>
        <v>0</v>
      </c>
      <c r="O13" s="3268">
        <f>IF(Q13&gt;0, N13,"na")</f>
        <v>0</v>
      </c>
      <c r="P13" s="286">
        <f>SUM(P14:P15)</f>
        <v>0</v>
      </c>
      <c r="Q13" s="286">
        <f>SUM(Q14:Q15)</f>
        <v>8747882993</v>
      </c>
      <c r="R13" s="286">
        <f>SUM(R14:R15)</f>
        <v>2593835548</v>
      </c>
      <c r="S13" s="286">
        <f>SUM(S14:S15)</f>
        <v>0</v>
      </c>
      <c r="T13" s="780">
        <f t="shared" si="0"/>
        <v>0.29651008707770449</v>
      </c>
      <c r="U13" s="780">
        <f t="shared" si="0"/>
        <v>0</v>
      </c>
      <c r="V13" s="359"/>
      <c r="W13" s="359"/>
      <c r="X13" s="182"/>
      <c r="Y13" s="192"/>
    </row>
    <row r="14" spans="1:25" ht="16.5" customHeight="1">
      <c r="A14" s="3263"/>
      <c r="B14" s="3263"/>
      <c r="C14" s="3263"/>
      <c r="D14" s="3266"/>
      <c r="E14" s="294" t="s">
        <v>5515</v>
      </c>
      <c r="F14" s="294"/>
      <c r="G14" s="781" t="s">
        <v>3782</v>
      </c>
      <c r="H14" s="354">
        <v>0</v>
      </c>
      <c r="I14" s="285" t="s">
        <v>5516</v>
      </c>
      <c r="J14" s="285" t="s">
        <v>124</v>
      </c>
      <c r="K14" s="286">
        <v>50</v>
      </c>
      <c r="L14" s="287">
        <v>0.5</v>
      </c>
      <c r="M14" s="485">
        <v>0</v>
      </c>
      <c r="N14" s="779">
        <v>0</v>
      </c>
      <c r="O14" s="3222"/>
      <c r="P14" s="286">
        <v>0</v>
      </c>
      <c r="Q14" s="286">
        <v>1023894000</v>
      </c>
      <c r="R14" s="286">
        <v>252564000</v>
      </c>
      <c r="S14" s="286">
        <v>0</v>
      </c>
      <c r="T14" s="780">
        <f t="shared" si="0"/>
        <v>0.24667006545599446</v>
      </c>
      <c r="U14" s="780">
        <f t="shared" si="0"/>
        <v>0</v>
      </c>
      <c r="V14" s="359">
        <v>45441</v>
      </c>
      <c r="W14" s="359">
        <v>45657</v>
      </c>
      <c r="X14" s="182" t="s">
        <v>5517</v>
      </c>
      <c r="Y14" s="192"/>
    </row>
    <row r="15" spans="1:25" ht="94.5">
      <c r="A15" s="3264"/>
      <c r="B15" s="3264"/>
      <c r="C15" s="3264"/>
      <c r="D15" s="3267"/>
      <c r="E15" s="294" t="s">
        <v>5518</v>
      </c>
      <c r="F15" s="294"/>
      <c r="G15" s="781"/>
      <c r="H15" s="354"/>
      <c r="I15" s="285" t="s">
        <v>5519</v>
      </c>
      <c r="J15" s="285" t="s">
        <v>3157</v>
      </c>
      <c r="K15" s="286">
        <v>40</v>
      </c>
      <c r="L15" s="287">
        <v>0.5</v>
      </c>
      <c r="M15" s="485">
        <v>0</v>
      </c>
      <c r="N15" s="779">
        <v>0</v>
      </c>
      <c r="O15" s="3228"/>
      <c r="P15" s="286">
        <v>0</v>
      </c>
      <c r="Q15" s="286">
        <v>7723988993</v>
      </c>
      <c r="R15" s="286">
        <v>2341271548</v>
      </c>
      <c r="S15" s="286">
        <v>0</v>
      </c>
      <c r="T15" s="780">
        <f t="shared" si="0"/>
        <v>0.30311689337230002</v>
      </c>
      <c r="U15" s="780">
        <f t="shared" si="0"/>
        <v>0</v>
      </c>
      <c r="V15" s="359">
        <v>45441</v>
      </c>
      <c r="W15" s="359">
        <v>45657</v>
      </c>
      <c r="X15" s="182" t="s">
        <v>5517</v>
      </c>
      <c r="Y15" s="192"/>
    </row>
    <row r="16" spans="1:25" ht="25.5">
      <c r="A16" s="328"/>
      <c r="B16" s="278">
        <v>53050010002</v>
      </c>
      <c r="C16" s="278" t="s">
        <v>103</v>
      </c>
      <c r="D16" s="329" t="s">
        <v>3784</v>
      </c>
      <c r="E16" s="278"/>
      <c r="F16" s="782"/>
      <c r="G16" s="776"/>
      <c r="H16" s="782">
        <f>H17</f>
        <v>0.11</v>
      </c>
      <c r="I16" s="277"/>
      <c r="J16" s="277"/>
      <c r="K16" s="278"/>
      <c r="L16" s="278"/>
      <c r="M16" s="279"/>
      <c r="N16" s="775"/>
      <c r="O16" s="775"/>
      <c r="P16" s="364"/>
      <c r="Q16" s="186"/>
      <c r="R16" s="186"/>
      <c r="S16" s="186"/>
      <c r="T16" s="186"/>
      <c r="U16" s="186"/>
      <c r="V16" s="186"/>
      <c r="W16" s="186"/>
      <c r="X16" s="186"/>
      <c r="Y16" s="186"/>
    </row>
    <row r="17" spans="1:25">
      <c r="A17" s="3260">
        <v>4163</v>
      </c>
      <c r="B17" s="3269"/>
      <c r="C17" s="3260" t="s">
        <v>109</v>
      </c>
      <c r="D17" s="3219" t="s">
        <v>3785</v>
      </c>
      <c r="E17" s="294" t="s">
        <v>3786</v>
      </c>
      <c r="F17" s="294"/>
      <c r="G17" s="778"/>
      <c r="H17" s="783">
        <f>H18</f>
        <v>0.11</v>
      </c>
      <c r="I17" s="285"/>
      <c r="J17" s="285"/>
      <c r="K17" s="286">
        <f>K18</f>
        <v>1</v>
      </c>
      <c r="L17" s="287">
        <f>SUM(L18:L19)</f>
        <v>1</v>
      </c>
      <c r="M17" s="784"/>
      <c r="N17" s="779">
        <f>SUM(N18:N19)</f>
        <v>0.13300000000000001</v>
      </c>
      <c r="O17" s="3261">
        <f>IF(Q17&gt;0, N17,"na")</f>
        <v>0.13300000000000001</v>
      </c>
      <c r="P17" s="286">
        <f>SUM(P18:P19)</f>
        <v>204818040</v>
      </c>
      <c r="Q17" s="286">
        <f>SUM(Q18:Q19)</f>
        <v>204818040</v>
      </c>
      <c r="R17" s="286">
        <f>SUM(R18:R19)</f>
        <v>73874500</v>
      </c>
      <c r="S17" s="286">
        <f>SUM(S18:S19)</f>
        <v>39976500</v>
      </c>
      <c r="T17" s="780">
        <f t="shared" ref="T17:U19" si="1">IF(Q17=0,0,R17/Q17)</f>
        <v>0.36068356088164888</v>
      </c>
      <c r="U17" s="780">
        <f t="shared" si="1"/>
        <v>0.5411407183804966</v>
      </c>
      <c r="V17" s="186"/>
      <c r="W17" s="186"/>
      <c r="X17" s="353"/>
      <c r="Y17" s="353"/>
    </row>
    <row r="18" spans="1:25" ht="16.5" customHeight="1">
      <c r="A18" s="3260"/>
      <c r="B18" s="3269"/>
      <c r="C18" s="3260"/>
      <c r="D18" s="3219"/>
      <c r="E18" s="294" t="s">
        <v>3787</v>
      </c>
      <c r="F18" s="294"/>
      <c r="G18" s="2957" t="s">
        <v>3788</v>
      </c>
      <c r="H18" s="3270">
        <v>0.11</v>
      </c>
      <c r="I18" s="285" t="s">
        <v>3789</v>
      </c>
      <c r="J18" s="285" t="s">
        <v>3790</v>
      </c>
      <c r="K18" s="332">
        <v>1</v>
      </c>
      <c r="L18" s="287">
        <v>0.5</v>
      </c>
      <c r="M18" s="485">
        <v>0</v>
      </c>
      <c r="N18" s="779">
        <v>0</v>
      </c>
      <c r="O18" s="3261"/>
      <c r="P18" s="286">
        <v>77354760</v>
      </c>
      <c r="Q18" s="286">
        <v>77354760</v>
      </c>
      <c r="R18" s="286">
        <v>0</v>
      </c>
      <c r="S18" s="286">
        <v>0</v>
      </c>
      <c r="T18" s="780">
        <f t="shared" si="1"/>
        <v>0</v>
      </c>
      <c r="U18" s="780">
        <f t="shared" si="1"/>
        <v>0</v>
      </c>
      <c r="V18" s="359">
        <v>45314</v>
      </c>
      <c r="W18" s="359">
        <v>45657</v>
      </c>
      <c r="X18" s="182" t="s">
        <v>5520</v>
      </c>
      <c r="Y18" s="2935" t="s">
        <v>3780</v>
      </c>
    </row>
    <row r="19" spans="1:25" ht="94.5">
      <c r="A19" s="3260"/>
      <c r="B19" s="3269"/>
      <c r="C19" s="3260"/>
      <c r="D19" s="3219"/>
      <c r="E19" s="294" t="s">
        <v>3791</v>
      </c>
      <c r="F19" s="294"/>
      <c r="G19" s="2957"/>
      <c r="H19" s="3270"/>
      <c r="I19" s="285" t="s">
        <v>3792</v>
      </c>
      <c r="J19" s="285" t="s">
        <v>3793</v>
      </c>
      <c r="K19" s="332">
        <v>1</v>
      </c>
      <c r="L19" s="287">
        <v>0.5</v>
      </c>
      <c r="M19" s="785">
        <v>0</v>
      </c>
      <c r="N19" s="779">
        <v>0.13300000000000001</v>
      </c>
      <c r="O19" s="3261"/>
      <c r="P19" s="286">
        <v>127463280</v>
      </c>
      <c r="Q19" s="286">
        <v>127463280</v>
      </c>
      <c r="R19" s="286">
        <v>73874500</v>
      </c>
      <c r="S19" s="286">
        <v>39976500</v>
      </c>
      <c r="T19" s="780">
        <f t="shared" si="1"/>
        <v>0.57957476066832736</v>
      </c>
      <c r="U19" s="780">
        <f t="shared" si="1"/>
        <v>0.5411407183804966</v>
      </c>
      <c r="V19" s="359">
        <v>45314</v>
      </c>
      <c r="W19" s="359">
        <v>45657</v>
      </c>
      <c r="X19" s="182" t="s">
        <v>5521</v>
      </c>
      <c r="Y19" s="2935"/>
    </row>
    <row r="20" spans="1:25">
      <c r="A20" s="328"/>
      <c r="B20" s="278">
        <v>53050010003</v>
      </c>
      <c r="C20" s="278" t="s">
        <v>103</v>
      </c>
      <c r="D20" s="329" t="s">
        <v>3794</v>
      </c>
      <c r="E20" s="278"/>
      <c r="F20" s="336"/>
      <c r="G20" s="776"/>
      <c r="H20" s="336">
        <f>H21</f>
        <v>0</v>
      </c>
      <c r="I20" s="277"/>
      <c r="J20" s="277"/>
      <c r="K20" s="278"/>
      <c r="L20" s="278"/>
      <c r="M20" s="279"/>
      <c r="N20" s="775"/>
      <c r="O20" s="775"/>
      <c r="P20" s="364"/>
      <c r="Q20" s="186"/>
      <c r="R20" s="186"/>
      <c r="S20" s="186"/>
      <c r="T20" s="186"/>
      <c r="U20" s="186"/>
      <c r="V20" s="186"/>
      <c r="W20" s="186"/>
      <c r="X20" s="186"/>
      <c r="Y20" s="186"/>
    </row>
    <row r="21" spans="1:25">
      <c r="A21" s="3262">
        <v>4163</v>
      </c>
      <c r="B21" s="3262"/>
      <c r="C21" s="3262" t="s">
        <v>109</v>
      </c>
      <c r="D21" s="3265" t="s">
        <v>3795</v>
      </c>
      <c r="E21" s="294" t="s">
        <v>3796</v>
      </c>
      <c r="F21" s="294"/>
      <c r="G21" s="778"/>
      <c r="H21" s="786">
        <f>SUM(H22:H22)</f>
        <v>0</v>
      </c>
      <c r="I21" s="285"/>
      <c r="J21" s="285"/>
      <c r="K21" s="286">
        <f>K22</f>
        <v>1</v>
      </c>
      <c r="L21" s="287">
        <f>L22</f>
        <v>0.5</v>
      </c>
      <c r="M21" s="485"/>
      <c r="N21" s="779">
        <f>SUM(N22:N23)</f>
        <v>0.437</v>
      </c>
      <c r="O21" s="3271">
        <f>IF(Q21&gt;0, N21,"na")</f>
        <v>0.437</v>
      </c>
      <c r="P21" s="286">
        <f>SUM(P22:P23)</f>
        <v>1891900480</v>
      </c>
      <c r="Q21" s="286">
        <f>SUM(Q22:Q23)</f>
        <v>1891900480</v>
      </c>
      <c r="R21" s="286">
        <f>SUM(R22:R23)</f>
        <v>1115188200</v>
      </c>
      <c r="S21" s="286">
        <f>SUM(S22:S23)</f>
        <v>721195299</v>
      </c>
      <c r="T21" s="780">
        <f t="shared" ref="T21:U23" si="2">IF(Q21=0,0,R21/Q21)</f>
        <v>0.58945394421592412</v>
      </c>
      <c r="U21" s="780">
        <f t="shared" si="2"/>
        <v>0.64670277088656425</v>
      </c>
      <c r="V21" s="186"/>
      <c r="W21" s="186"/>
      <c r="X21" s="353"/>
      <c r="Y21" s="2935" t="s">
        <v>3780</v>
      </c>
    </row>
    <row r="22" spans="1:25" ht="16.5" customHeight="1">
      <c r="A22" s="3263"/>
      <c r="B22" s="3263"/>
      <c r="C22" s="3263"/>
      <c r="D22" s="3266"/>
      <c r="E22" s="294" t="s">
        <v>3797</v>
      </c>
      <c r="F22" s="294"/>
      <c r="G22" s="781" t="s">
        <v>3798</v>
      </c>
      <c r="H22" s="787">
        <v>0</v>
      </c>
      <c r="I22" s="285" t="s">
        <v>3799</v>
      </c>
      <c r="J22" s="285" t="s">
        <v>193</v>
      </c>
      <c r="K22" s="286">
        <v>1</v>
      </c>
      <c r="L22" s="287">
        <v>0.5</v>
      </c>
      <c r="M22" s="485">
        <v>0</v>
      </c>
      <c r="N22" s="779">
        <v>0.187</v>
      </c>
      <c r="O22" s="3272"/>
      <c r="P22" s="286">
        <v>155877540</v>
      </c>
      <c r="Q22" s="286">
        <v>155877540</v>
      </c>
      <c r="R22" s="286">
        <v>63912000</v>
      </c>
      <c r="S22" s="286">
        <v>52372000</v>
      </c>
      <c r="T22" s="780">
        <f t="shared" si="2"/>
        <v>0.41001416881482733</v>
      </c>
      <c r="U22" s="780">
        <f t="shared" si="2"/>
        <v>0.81943922893979226</v>
      </c>
      <c r="V22" s="359">
        <v>45314</v>
      </c>
      <c r="W22" s="359">
        <v>45657</v>
      </c>
      <c r="X22" s="182" t="s">
        <v>5522</v>
      </c>
      <c r="Y22" s="2935"/>
    </row>
    <row r="23" spans="1:25" ht="148.5">
      <c r="A23" s="3264"/>
      <c r="B23" s="3264"/>
      <c r="C23" s="3264"/>
      <c r="D23" s="3267"/>
      <c r="E23" s="294" t="s">
        <v>3800</v>
      </c>
      <c r="F23" s="294"/>
      <c r="G23" s="781"/>
      <c r="H23" s="787"/>
      <c r="I23" s="285" t="s">
        <v>3801</v>
      </c>
      <c r="J23" s="285" t="s">
        <v>3802</v>
      </c>
      <c r="K23" s="286">
        <v>1</v>
      </c>
      <c r="L23" s="287">
        <v>0.5</v>
      </c>
      <c r="M23" s="485">
        <v>1</v>
      </c>
      <c r="N23" s="779">
        <v>0.25</v>
      </c>
      <c r="O23" s="3273"/>
      <c r="P23" s="286">
        <v>1736022940</v>
      </c>
      <c r="Q23" s="286">
        <v>1736022940</v>
      </c>
      <c r="R23" s="286">
        <v>1051276200</v>
      </c>
      <c r="S23" s="286">
        <v>668823299</v>
      </c>
      <c r="T23" s="780">
        <f t="shared" si="2"/>
        <v>0.60556584580616202</v>
      </c>
      <c r="U23" s="780">
        <f t="shared" si="2"/>
        <v>0.63620131322291895</v>
      </c>
      <c r="V23" s="359">
        <v>45314</v>
      </c>
      <c r="W23" s="359">
        <v>45657</v>
      </c>
      <c r="X23" s="182" t="s">
        <v>5523</v>
      </c>
      <c r="Y23" s="192"/>
    </row>
    <row r="24" spans="1:25" ht="25.5">
      <c r="A24" s="328"/>
      <c r="B24" s="278">
        <v>53050010004</v>
      </c>
      <c r="C24" s="278" t="s">
        <v>103</v>
      </c>
      <c r="D24" s="329" t="s">
        <v>3803</v>
      </c>
      <c r="E24" s="278"/>
      <c r="F24" s="782"/>
      <c r="G24" s="776"/>
      <c r="H24" s="782">
        <f>H25</f>
        <v>7.0000000000000001E-3</v>
      </c>
      <c r="I24" s="277"/>
      <c r="J24" s="277"/>
      <c r="K24" s="278"/>
      <c r="L24" s="278"/>
      <c r="M24" s="279"/>
      <c r="N24" s="775"/>
      <c r="O24" s="775"/>
      <c r="P24" s="364"/>
      <c r="Q24" s="186"/>
      <c r="R24" s="186"/>
      <c r="S24" s="186"/>
      <c r="T24" s="186"/>
      <c r="U24" s="186"/>
      <c r="V24" s="186"/>
      <c r="W24" s="186"/>
      <c r="X24" s="186"/>
      <c r="Y24" s="186"/>
    </row>
    <row r="25" spans="1:25">
      <c r="A25" s="3260">
        <v>4163</v>
      </c>
      <c r="B25" s="3260"/>
      <c r="C25" s="3260" t="s">
        <v>109</v>
      </c>
      <c r="D25" s="3219" t="s">
        <v>3804</v>
      </c>
      <c r="E25" s="294" t="s">
        <v>3805</v>
      </c>
      <c r="F25" s="294"/>
      <c r="G25" s="778"/>
      <c r="H25" s="946">
        <f>SUM(H26:H26)</f>
        <v>7.0000000000000001E-3</v>
      </c>
      <c r="I25" s="285"/>
      <c r="J25" s="285"/>
      <c r="K25" s="286">
        <f>K26</f>
        <v>1</v>
      </c>
      <c r="L25" s="287">
        <f>L26</f>
        <v>1</v>
      </c>
      <c r="M25" s="485"/>
      <c r="N25" s="779">
        <f>SUM(N26:N26)</f>
        <v>3.5000000000000003E-2</v>
      </c>
      <c r="O25" s="3261">
        <f>IF(Q25&gt;0, N25,"na")</f>
        <v>3.5000000000000003E-2</v>
      </c>
      <c r="P25" s="286">
        <f>SUM(P26:P26)</f>
        <v>1101630784</v>
      </c>
      <c r="Q25" s="286">
        <f>SUM(Q26:Q26)</f>
        <v>1101630784</v>
      </c>
      <c r="R25" s="286">
        <f>SUM(R26:R26)</f>
        <v>64990000</v>
      </c>
      <c r="S25" s="286">
        <f>SUM(S26:S26)</f>
        <v>38994000</v>
      </c>
      <c r="T25" s="780">
        <f>IF(Q25=0,0,R25/Q25)</f>
        <v>5.8994357223771991E-2</v>
      </c>
      <c r="U25" s="780">
        <f>IF(R25=0,0,S25/R25)</f>
        <v>0.6</v>
      </c>
      <c r="V25" s="186"/>
      <c r="W25" s="186"/>
      <c r="X25" s="353"/>
      <c r="Y25" s="2935" t="s">
        <v>3780</v>
      </c>
    </row>
    <row r="26" spans="1:25" ht="16.5" customHeight="1">
      <c r="A26" s="3260"/>
      <c r="B26" s="3260"/>
      <c r="C26" s="3260"/>
      <c r="D26" s="3219"/>
      <c r="E26" s="294" t="s">
        <v>3806</v>
      </c>
      <c r="F26" s="294"/>
      <c r="G26" s="781" t="s">
        <v>3807</v>
      </c>
      <c r="H26" s="946">
        <v>7.0000000000000001E-3</v>
      </c>
      <c r="I26" s="285" t="s">
        <v>3808</v>
      </c>
      <c r="J26" s="285" t="s">
        <v>3809</v>
      </c>
      <c r="K26" s="286">
        <v>1</v>
      </c>
      <c r="L26" s="287">
        <v>1</v>
      </c>
      <c r="M26" s="485">
        <v>0</v>
      </c>
      <c r="N26" s="779">
        <v>3.5000000000000003E-2</v>
      </c>
      <c r="O26" s="3261"/>
      <c r="P26" s="286">
        <v>1101630784</v>
      </c>
      <c r="Q26" s="286">
        <v>1101630784</v>
      </c>
      <c r="R26" s="286">
        <v>64990000</v>
      </c>
      <c r="S26" s="286">
        <v>38994000</v>
      </c>
      <c r="T26" s="780">
        <f>IF(Q26=0,0,R26/Q26)</f>
        <v>5.8994357223771991E-2</v>
      </c>
      <c r="U26" s="780">
        <f>IF(R26=0,0,S26/R26)</f>
        <v>0.6</v>
      </c>
      <c r="V26" s="359">
        <v>45314</v>
      </c>
      <c r="W26" s="359">
        <v>45657</v>
      </c>
      <c r="X26" s="182" t="s">
        <v>5524</v>
      </c>
      <c r="Y26" s="2935"/>
    </row>
    <row r="27" spans="1:25">
      <c r="A27" s="300"/>
      <c r="B27" s="341">
        <v>5305002</v>
      </c>
      <c r="C27" s="772" t="s">
        <v>102</v>
      </c>
      <c r="D27" s="623" t="s">
        <v>3810</v>
      </c>
      <c r="E27" s="773"/>
      <c r="F27" s="300"/>
      <c r="G27" s="300"/>
      <c r="H27" s="300"/>
      <c r="I27" s="300"/>
      <c r="J27" s="300"/>
      <c r="K27" s="300"/>
      <c r="L27" s="300"/>
      <c r="M27" s="279"/>
      <c r="N27" s="775"/>
      <c r="O27" s="775"/>
      <c r="P27" s="364"/>
      <c r="Q27" s="186"/>
      <c r="R27" s="186"/>
      <c r="S27" s="186"/>
      <c r="T27" s="186"/>
      <c r="U27" s="186"/>
      <c r="V27" s="186"/>
      <c r="W27" s="186"/>
      <c r="X27" s="186"/>
      <c r="Y27" s="186"/>
    </row>
    <row r="28" spans="1:25" ht="16.5" customHeight="1">
      <c r="A28" s="342"/>
      <c r="B28" s="278">
        <v>53050020008</v>
      </c>
      <c r="C28" s="278" t="s">
        <v>103</v>
      </c>
      <c r="D28" s="329" t="s">
        <v>3811</v>
      </c>
      <c r="E28" s="294"/>
      <c r="F28" s="336"/>
      <c r="G28" s="749"/>
      <c r="H28" s="788">
        <f>H31+H29</f>
        <v>238</v>
      </c>
      <c r="I28" s="529"/>
      <c r="J28" s="529"/>
      <c r="K28" s="294"/>
      <c r="L28" s="789"/>
      <c r="M28" s="485"/>
      <c r="N28" s="790"/>
      <c r="O28" s="731"/>
      <c r="P28" s="286"/>
      <c r="Q28" s="186"/>
      <c r="R28" s="186"/>
      <c r="S28" s="186"/>
      <c r="T28" s="186"/>
      <c r="U28" s="186"/>
      <c r="V28" s="186"/>
      <c r="W28" s="186"/>
      <c r="X28" s="353"/>
      <c r="Y28" s="353"/>
    </row>
    <row r="29" spans="1:25">
      <c r="A29" s="3260">
        <v>4163</v>
      </c>
      <c r="B29" s="3260"/>
      <c r="C29" s="3260" t="s">
        <v>109</v>
      </c>
      <c r="D29" s="3219" t="s">
        <v>3812</v>
      </c>
      <c r="E29" s="294" t="s">
        <v>3813</v>
      </c>
      <c r="F29" s="341"/>
      <c r="G29" s="282"/>
      <c r="H29" s="786">
        <f>H30</f>
        <v>238</v>
      </c>
      <c r="I29" s="791"/>
      <c r="J29" s="791"/>
      <c r="K29" s="332">
        <f>K30</f>
        <v>300</v>
      </c>
      <c r="L29" s="614">
        <f>SUM(L30)</f>
        <v>1</v>
      </c>
      <c r="M29" s="485"/>
      <c r="N29" s="779">
        <f>SUM(N30)</f>
        <v>0.52</v>
      </c>
      <c r="O29" s="3276">
        <f>IF(Q29&gt;0, N29,"na")</f>
        <v>0.52</v>
      </c>
      <c r="P29" s="286">
        <f>SUM(P30:P30)</f>
        <v>305180200</v>
      </c>
      <c r="Q29" s="286">
        <f>SUM(Q30:Q30)</f>
        <v>305180200</v>
      </c>
      <c r="R29" s="286">
        <f>SUM(R30:R30)</f>
        <v>56028688</v>
      </c>
      <c r="S29" s="286">
        <f>SUM(S30:S30)</f>
        <v>33183525</v>
      </c>
      <c r="T29" s="780">
        <f t="shared" ref="T29:U33" si="3">IF(Q29=0,0,R29/Q29)</f>
        <v>0.18359214654161704</v>
      </c>
      <c r="U29" s="780">
        <f t="shared" si="3"/>
        <v>0.59225954032691253</v>
      </c>
      <c r="V29" s="186"/>
      <c r="W29" s="186"/>
      <c r="X29" s="353"/>
      <c r="Y29" s="2935" t="s">
        <v>3780</v>
      </c>
    </row>
    <row r="30" spans="1:25" ht="175.5">
      <c r="A30" s="3274"/>
      <c r="B30" s="3274"/>
      <c r="C30" s="3260"/>
      <c r="D30" s="3275"/>
      <c r="E30" s="294" t="s">
        <v>3814</v>
      </c>
      <c r="F30" s="294"/>
      <c r="G30" s="285" t="s">
        <v>3815</v>
      </c>
      <c r="H30" s="294">
        <v>238</v>
      </c>
      <c r="I30" s="285" t="s">
        <v>3816</v>
      </c>
      <c r="J30" s="285" t="s">
        <v>106</v>
      </c>
      <c r="K30" s="332">
        <v>300</v>
      </c>
      <c r="L30" s="779">
        <v>1</v>
      </c>
      <c r="M30" s="485">
        <v>238</v>
      </c>
      <c r="N30" s="779">
        <v>0.52</v>
      </c>
      <c r="O30" s="3276"/>
      <c r="P30" s="286">
        <v>305180200</v>
      </c>
      <c r="Q30" s="286">
        <v>305180200</v>
      </c>
      <c r="R30" s="286">
        <v>56028688</v>
      </c>
      <c r="S30" s="286">
        <v>33183525</v>
      </c>
      <c r="T30" s="780">
        <f t="shared" si="3"/>
        <v>0.18359214654161704</v>
      </c>
      <c r="U30" s="780">
        <f t="shared" si="3"/>
        <v>0.59225954032691253</v>
      </c>
      <c r="V30" s="359">
        <v>45314</v>
      </c>
      <c r="W30" s="359">
        <v>45657</v>
      </c>
      <c r="X30" s="792" t="s">
        <v>5525</v>
      </c>
      <c r="Y30" s="2935"/>
    </row>
    <row r="31" spans="1:25">
      <c r="A31" s="3260">
        <v>4163</v>
      </c>
      <c r="B31" s="3269"/>
      <c r="C31" s="3260" t="s">
        <v>109</v>
      </c>
      <c r="D31" s="3219" t="s">
        <v>3817</v>
      </c>
      <c r="E31" s="294" t="s">
        <v>3818</v>
      </c>
      <c r="F31" s="294"/>
      <c r="G31" s="778"/>
      <c r="H31" s="793">
        <f>H33</f>
        <v>0</v>
      </c>
      <c r="I31" s="285"/>
      <c r="J31" s="285"/>
      <c r="K31" s="286">
        <f>K33</f>
        <v>2000</v>
      </c>
      <c r="L31" s="287">
        <f>SUM(L32:L33)</f>
        <v>1</v>
      </c>
      <c r="M31" s="784"/>
      <c r="N31" s="779">
        <f>SUM(N32:N33)</f>
        <v>0.21</v>
      </c>
      <c r="O31" s="3261">
        <f>IF(Q31&gt;0, N31,"na")</f>
        <v>0.21</v>
      </c>
      <c r="P31" s="286">
        <f>SUM(P32:P33)</f>
        <v>328161020</v>
      </c>
      <c r="Q31" s="286">
        <f>SUM(Q32:Q33)</f>
        <v>328161020</v>
      </c>
      <c r="R31" s="286">
        <f>SUM(R32:R33)</f>
        <v>121073000</v>
      </c>
      <c r="S31" s="286">
        <f>SUM(S32:S33)</f>
        <v>91015000</v>
      </c>
      <c r="T31" s="780">
        <f t="shared" si="3"/>
        <v>0.36894388005010464</v>
      </c>
      <c r="U31" s="780">
        <f t="shared" si="3"/>
        <v>0.75173655563172637</v>
      </c>
      <c r="V31" s="186"/>
      <c r="W31" s="186"/>
      <c r="X31" s="353"/>
      <c r="Y31" s="353"/>
    </row>
    <row r="32" spans="1:25" ht="16.5" customHeight="1">
      <c r="A32" s="3260"/>
      <c r="B32" s="3269"/>
      <c r="C32" s="3260"/>
      <c r="D32" s="3219"/>
      <c r="E32" s="294" t="s">
        <v>3819</v>
      </c>
      <c r="F32" s="294"/>
      <c r="G32" s="335"/>
      <c r="H32" s="360"/>
      <c r="I32" s="285" t="s">
        <v>3820</v>
      </c>
      <c r="J32" s="285" t="s">
        <v>193</v>
      </c>
      <c r="K32" s="332">
        <v>170</v>
      </c>
      <c r="L32" s="287">
        <v>0.5</v>
      </c>
      <c r="M32" s="485">
        <v>0</v>
      </c>
      <c r="N32" s="199">
        <v>0.15</v>
      </c>
      <c r="O32" s="3261"/>
      <c r="P32" s="286">
        <v>81082720</v>
      </c>
      <c r="Q32" s="286">
        <v>81082720</v>
      </c>
      <c r="R32" s="286">
        <v>35508000</v>
      </c>
      <c r="S32" s="286">
        <v>35508000</v>
      </c>
      <c r="T32" s="780">
        <f t="shared" si="3"/>
        <v>0.4379231481134328</v>
      </c>
      <c r="U32" s="780">
        <f t="shared" si="3"/>
        <v>1</v>
      </c>
      <c r="V32" s="359">
        <v>45314</v>
      </c>
      <c r="W32" s="359">
        <v>45657</v>
      </c>
      <c r="X32" s="182" t="s">
        <v>5526</v>
      </c>
      <c r="Y32" s="2935" t="s">
        <v>3780</v>
      </c>
    </row>
    <row r="33" spans="1:25" ht="108">
      <c r="A33" s="3260"/>
      <c r="B33" s="3269"/>
      <c r="C33" s="3260"/>
      <c r="D33" s="3219"/>
      <c r="E33" s="294" t="s">
        <v>3821</v>
      </c>
      <c r="F33" s="294"/>
      <c r="G33" s="335" t="s">
        <v>3811</v>
      </c>
      <c r="H33" s="786">
        <v>0</v>
      </c>
      <c r="I33" s="285" t="s">
        <v>3822</v>
      </c>
      <c r="J33" s="285" t="s">
        <v>106</v>
      </c>
      <c r="K33" s="332">
        <v>2000</v>
      </c>
      <c r="L33" s="287">
        <v>0.5</v>
      </c>
      <c r="M33" s="785">
        <v>0</v>
      </c>
      <c r="N33" s="779">
        <v>0.06</v>
      </c>
      <c r="O33" s="3261"/>
      <c r="P33" s="286">
        <v>247078300</v>
      </c>
      <c r="Q33" s="286">
        <v>247078300</v>
      </c>
      <c r="R33" s="286">
        <v>85565000</v>
      </c>
      <c r="S33" s="286">
        <v>55507000</v>
      </c>
      <c r="T33" s="780">
        <f t="shared" si="3"/>
        <v>0.34630722325675706</v>
      </c>
      <c r="U33" s="780">
        <f t="shared" si="3"/>
        <v>0.6487115058727283</v>
      </c>
      <c r="V33" s="359">
        <v>45314</v>
      </c>
      <c r="W33" s="359">
        <v>45657</v>
      </c>
      <c r="X33" s="182" t="s">
        <v>5527</v>
      </c>
      <c r="Y33" s="2935"/>
    </row>
    <row r="34" spans="1:25" ht="38.25">
      <c r="A34" s="591"/>
      <c r="B34" s="278">
        <v>53050020009</v>
      </c>
      <c r="C34" s="278" t="s">
        <v>103</v>
      </c>
      <c r="D34" s="329" t="s">
        <v>3823</v>
      </c>
      <c r="E34" s="294"/>
      <c r="F34" s="336"/>
      <c r="G34" s="486"/>
      <c r="H34" s="360">
        <f>H35</f>
        <v>44</v>
      </c>
      <c r="I34" s="285"/>
      <c r="J34" s="285"/>
      <c r="K34" s="332"/>
      <c r="L34" s="338"/>
      <c r="M34" s="485"/>
      <c r="N34" s="790"/>
      <c r="O34" s="731"/>
      <c r="P34" s="286"/>
      <c r="Q34" s="186"/>
      <c r="R34" s="186"/>
      <c r="S34" s="186"/>
      <c r="T34" s="186"/>
      <c r="U34" s="186"/>
      <c r="V34" s="186"/>
      <c r="W34" s="186"/>
      <c r="X34" s="353"/>
      <c r="Y34" s="353"/>
    </row>
    <row r="35" spans="1:25">
      <c r="A35" s="3260">
        <v>4163</v>
      </c>
      <c r="B35" s="3260"/>
      <c r="C35" s="3260" t="s">
        <v>109</v>
      </c>
      <c r="D35" s="3219" t="s">
        <v>3824</v>
      </c>
      <c r="E35" s="294" t="s">
        <v>3825</v>
      </c>
      <c r="F35" s="336"/>
      <c r="G35" s="486"/>
      <c r="H35" s="360">
        <f>H36</f>
        <v>44</v>
      </c>
      <c r="I35" s="285"/>
      <c r="J35" s="285"/>
      <c r="K35" s="332">
        <f>K36</f>
        <v>400</v>
      </c>
      <c r="L35" s="287">
        <f>SUM(L36:L37)</f>
        <v>1</v>
      </c>
      <c r="M35" s="279"/>
      <c r="N35" s="790">
        <f>SUM(N36:N37)</f>
        <v>0.11699999999999999</v>
      </c>
      <c r="O35" s="3261">
        <f>IF(Q35&gt;0, N35,"na")</f>
        <v>0.11699999999999999</v>
      </c>
      <c r="P35" s="1753">
        <f>SUM(P36:P37)</f>
        <v>3454752000</v>
      </c>
      <c r="Q35" s="1754">
        <f>SUM(Q36:Q37)</f>
        <v>6854752000</v>
      </c>
      <c r="R35" s="286">
        <f>SUM(R36:R37)</f>
        <v>3064797450</v>
      </c>
      <c r="S35" s="286">
        <f>SUM(S36:S37)</f>
        <v>1753837060</v>
      </c>
      <c r="T35" s="780">
        <f t="shared" ref="T35:U37" si="4">IF(Q35=0,0,R35/Q35)</f>
        <v>0.4471055189159287</v>
      </c>
      <c r="U35" s="780">
        <f t="shared" si="4"/>
        <v>0.57225219239202907</v>
      </c>
      <c r="V35" s="186"/>
      <c r="W35" s="186"/>
      <c r="X35" s="353"/>
      <c r="Y35" s="2935" t="s">
        <v>3780</v>
      </c>
    </row>
    <row r="36" spans="1:25" ht="189">
      <c r="A36" s="3260"/>
      <c r="B36" s="3260"/>
      <c r="C36" s="3260"/>
      <c r="D36" s="3219"/>
      <c r="E36" s="294" t="s">
        <v>3826</v>
      </c>
      <c r="F36" s="336"/>
      <c r="G36" s="335" t="s">
        <v>3827</v>
      </c>
      <c r="H36" s="360">
        <v>44</v>
      </c>
      <c r="I36" s="285" t="s">
        <v>3828</v>
      </c>
      <c r="J36" s="285" t="s">
        <v>3829</v>
      </c>
      <c r="K36" s="332">
        <v>400</v>
      </c>
      <c r="L36" s="287">
        <v>0.7</v>
      </c>
      <c r="M36" s="485">
        <v>44</v>
      </c>
      <c r="N36" s="556">
        <v>7.6999999999999999E-2</v>
      </c>
      <c r="O36" s="3261"/>
      <c r="P36" s="555">
        <v>3193032000</v>
      </c>
      <c r="Q36" s="555">
        <v>5013149000</v>
      </c>
      <c r="R36" s="286">
        <v>2785021450</v>
      </c>
      <c r="S36" s="286">
        <v>1587085060</v>
      </c>
      <c r="T36" s="780">
        <f t="shared" si="4"/>
        <v>0.55554332217135383</v>
      </c>
      <c r="U36" s="780">
        <f>IF(R36=0,0,S36/R36)</f>
        <v>0.56986457321540562</v>
      </c>
      <c r="V36" s="794">
        <v>45314</v>
      </c>
      <c r="W36" s="794">
        <v>45657</v>
      </c>
      <c r="X36" s="507" t="s">
        <v>5528</v>
      </c>
      <c r="Y36" s="2935"/>
    </row>
    <row r="37" spans="1:25" ht="16.5" customHeight="1">
      <c r="A37" s="3260"/>
      <c r="B37" s="3260"/>
      <c r="C37" s="3260"/>
      <c r="D37" s="3219"/>
      <c r="E37" s="294" t="s">
        <v>3830</v>
      </c>
      <c r="F37" s="336"/>
      <c r="G37" s="335"/>
      <c r="H37" s="360"/>
      <c r="I37" s="285" t="s">
        <v>3831</v>
      </c>
      <c r="J37" s="285" t="s">
        <v>3832</v>
      </c>
      <c r="K37" s="332">
        <v>1</v>
      </c>
      <c r="L37" s="287">
        <v>0.3</v>
      </c>
      <c r="M37" s="485">
        <v>0</v>
      </c>
      <c r="N37" s="557">
        <v>0.04</v>
      </c>
      <c r="O37" s="3261"/>
      <c r="P37" s="1755">
        <v>261720000</v>
      </c>
      <c r="Q37" s="555">
        <v>1841603000</v>
      </c>
      <c r="R37" s="286">
        <v>279776000</v>
      </c>
      <c r="S37" s="286">
        <v>166752000</v>
      </c>
      <c r="T37" s="780">
        <f t="shared" si="4"/>
        <v>0.1519198220246166</v>
      </c>
      <c r="U37" s="780">
        <f t="shared" si="4"/>
        <v>0.59601967288116209</v>
      </c>
      <c r="V37" s="794">
        <v>45314</v>
      </c>
      <c r="W37" s="794">
        <v>45657</v>
      </c>
      <c r="X37" s="507" t="s">
        <v>5529</v>
      </c>
      <c r="Y37" s="2935"/>
    </row>
    <row r="38" spans="1:25">
      <c r="A38" s="300"/>
      <c r="B38" s="341">
        <v>5305003</v>
      </c>
      <c r="C38" s="772" t="s">
        <v>102</v>
      </c>
      <c r="D38" s="623" t="s">
        <v>3833</v>
      </c>
      <c r="E38" s="773"/>
      <c r="F38" s="300"/>
      <c r="G38" s="300"/>
      <c r="H38" s="360"/>
      <c r="I38" s="300"/>
      <c r="J38" s="300"/>
      <c r="K38" s="300"/>
      <c r="L38" s="365"/>
      <c r="M38" s="485"/>
      <c r="N38" s="790"/>
      <c r="O38" s="731"/>
      <c r="P38" s="1756"/>
      <c r="Q38" s="193"/>
      <c r="R38" s="186"/>
      <c r="S38" s="186"/>
      <c r="T38" s="186"/>
      <c r="U38" s="186"/>
      <c r="V38" s="186"/>
      <c r="W38" s="186"/>
      <c r="X38" s="353"/>
      <c r="Y38" s="353"/>
    </row>
    <row r="39" spans="1:25" ht="25.5">
      <c r="A39" s="342"/>
      <c r="B39" s="278">
        <v>53050030001</v>
      </c>
      <c r="C39" s="278" t="s">
        <v>103</v>
      </c>
      <c r="D39" s="329" t="s">
        <v>3834</v>
      </c>
      <c r="E39" s="294"/>
      <c r="F39" s="336"/>
      <c r="G39" s="749"/>
      <c r="H39" s="481">
        <f>SUM(H40+H43)</f>
        <v>2</v>
      </c>
      <c r="I39" s="529"/>
      <c r="J39" s="529"/>
      <c r="K39" s="294"/>
      <c r="L39" s="789"/>
      <c r="M39" s="485"/>
      <c r="N39" s="790"/>
      <c r="O39" s="731"/>
      <c r="P39" s="286"/>
      <c r="Q39" s="186"/>
      <c r="R39" s="186"/>
      <c r="S39" s="186"/>
      <c r="T39" s="186"/>
      <c r="U39" s="186"/>
      <c r="V39" s="186"/>
      <c r="W39" s="186"/>
      <c r="X39" s="353"/>
      <c r="Y39" s="353"/>
    </row>
    <row r="40" spans="1:25" ht="16.5" customHeight="1">
      <c r="A40" s="3260">
        <v>4163</v>
      </c>
      <c r="B40" s="3260"/>
      <c r="C40" s="3260" t="s">
        <v>109</v>
      </c>
      <c r="D40" s="3219" t="s">
        <v>3835</v>
      </c>
      <c r="E40" s="294" t="s">
        <v>3836</v>
      </c>
      <c r="F40" s="341"/>
      <c r="G40" s="282"/>
      <c r="H40" s="360">
        <f>SUM(H42:H42)</f>
        <v>1</v>
      </c>
      <c r="I40" s="791"/>
      <c r="J40" s="791"/>
      <c r="K40" s="332">
        <f>K42</f>
        <v>1</v>
      </c>
      <c r="L40" s="287">
        <f>SUM(L41:L42)</f>
        <v>1</v>
      </c>
      <c r="M40" s="485"/>
      <c r="N40" s="779">
        <f>SUM(N41:N42)</f>
        <v>0.4</v>
      </c>
      <c r="O40" s="3215">
        <f>IF(Q40&gt;0, N40,"na")</f>
        <v>0.4</v>
      </c>
      <c r="P40" s="286">
        <f>SUM(P41:P42)</f>
        <v>28414742909</v>
      </c>
      <c r="Q40" s="286">
        <f>SUM(Q41:Q42)</f>
        <v>28414742909</v>
      </c>
      <c r="R40" s="286">
        <f>SUM(R41:R42)</f>
        <v>28414742909</v>
      </c>
      <c r="S40" s="286">
        <f>SUM(S41:S42)</f>
        <v>23073361960</v>
      </c>
      <c r="T40" s="780">
        <f t="shared" ref="T40:U47" si="5">IF(Q40=0,0,R40/Q40)</f>
        <v>1</v>
      </c>
      <c r="U40" s="780">
        <f t="shared" si="5"/>
        <v>0.81202078913379194</v>
      </c>
      <c r="V40" s="186"/>
      <c r="W40" s="186"/>
      <c r="X40" s="353"/>
      <c r="Y40" s="2935" t="s">
        <v>3780</v>
      </c>
    </row>
    <row r="41" spans="1:25" ht="94.5">
      <c r="A41" s="3260"/>
      <c r="B41" s="3260"/>
      <c r="C41" s="3260"/>
      <c r="D41" s="3219"/>
      <c r="E41" s="294" t="s">
        <v>3837</v>
      </c>
      <c r="F41" s="612"/>
      <c r="G41" s="612"/>
      <c r="H41" s="612"/>
      <c r="I41" s="285" t="s">
        <v>3838</v>
      </c>
      <c r="J41" s="285" t="s">
        <v>3839</v>
      </c>
      <c r="K41" s="332">
        <v>11</v>
      </c>
      <c r="L41" s="287">
        <v>0.4</v>
      </c>
      <c r="M41" s="485">
        <v>11</v>
      </c>
      <c r="N41" s="779">
        <v>0.16</v>
      </c>
      <c r="O41" s="3215"/>
      <c r="P41" s="286">
        <v>133000000</v>
      </c>
      <c r="Q41" s="286">
        <v>133000000</v>
      </c>
      <c r="R41" s="286">
        <v>133000000</v>
      </c>
      <c r="S41" s="286">
        <v>12258000</v>
      </c>
      <c r="T41" s="780">
        <f t="shared" si="5"/>
        <v>1</v>
      </c>
      <c r="U41" s="780">
        <f t="shared" si="5"/>
        <v>9.2165413533834589E-2</v>
      </c>
      <c r="V41" s="359">
        <v>45314</v>
      </c>
      <c r="W41" s="359">
        <v>45657</v>
      </c>
      <c r="X41" s="182" t="s">
        <v>5530</v>
      </c>
      <c r="Y41" s="2935"/>
    </row>
    <row r="42" spans="1:25" ht="121.5">
      <c r="A42" s="3260"/>
      <c r="B42" s="3260"/>
      <c r="C42" s="3260"/>
      <c r="D42" s="3219"/>
      <c r="E42" s="294" t="s">
        <v>3840</v>
      </c>
      <c r="F42" s="612"/>
      <c r="G42" s="335" t="s">
        <v>3841</v>
      </c>
      <c r="H42" s="612">
        <v>1</v>
      </c>
      <c r="I42" s="285" t="s">
        <v>3842</v>
      </c>
      <c r="J42" s="285" t="s">
        <v>3843</v>
      </c>
      <c r="K42" s="332">
        <v>1</v>
      </c>
      <c r="L42" s="287">
        <v>0.6</v>
      </c>
      <c r="M42" s="485">
        <v>1</v>
      </c>
      <c r="N42" s="779">
        <v>0.24</v>
      </c>
      <c r="O42" s="3215"/>
      <c r="P42" s="286">
        <v>28281742909</v>
      </c>
      <c r="Q42" s="286">
        <v>28281742909</v>
      </c>
      <c r="R42" s="286">
        <v>28281742909</v>
      </c>
      <c r="S42" s="286">
        <v>23061103960</v>
      </c>
      <c r="T42" s="780">
        <f t="shared" si="5"/>
        <v>1</v>
      </c>
      <c r="U42" s="780">
        <f t="shared" si="5"/>
        <v>0.81540603894894137</v>
      </c>
      <c r="V42" s="359">
        <v>45314</v>
      </c>
      <c r="W42" s="359">
        <v>45657</v>
      </c>
      <c r="X42" s="182" t="s">
        <v>5531</v>
      </c>
      <c r="Y42" s="2935"/>
    </row>
    <row r="43" spans="1:25" ht="16.5" customHeight="1">
      <c r="A43" s="3260">
        <v>4163</v>
      </c>
      <c r="B43" s="3260"/>
      <c r="C43" s="3260" t="s">
        <v>109</v>
      </c>
      <c r="D43" s="3219" t="s">
        <v>3844</v>
      </c>
      <c r="E43" s="294" t="s">
        <v>3845</v>
      </c>
      <c r="F43" s="341"/>
      <c r="G43" s="282"/>
      <c r="H43" s="360">
        <f>SUM(H44:H44)</f>
        <v>1</v>
      </c>
      <c r="I43" s="529"/>
      <c r="J43" s="529"/>
      <c r="K43" s="332">
        <f>K44</f>
        <v>2</v>
      </c>
      <c r="L43" s="287">
        <f>SUM(L44:L44)</f>
        <v>1</v>
      </c>
      <c r="M43" s="485"/>
      <c r="N43" s="779">
        <f>SUM(N44:N44)</f>
        <v>0.17</v>
      </c>
      <c r="O43" s="3276">
        <f>IF(Q43&gt;0, N43,"na")</f>
        <v>0.17</v>
      </c>
      <c r="P43" s="286">
        <f>SUM(P44:P44)</f>
        <v>600000000</v>
      </c>
      <c r="Q43" s="286">
        <f>SUM(Q44:Q44)</f>
        <v>600000000</v>
      </c>
      <c r="R43" s="286">
        <f>SUM(R44:R44)</f>
        <v>600000000</v>
      </c>
      <c r="S43" s="286">
        <f>SUM(S44:S44)</f>
        <v>0</v>
      </c>
      <c r="T43" s="780">
        <f t="shared" si="5"/>
        <v>1</v>
      </c>
      <c r="U43" s="780">
        <f t="shared" si="5"/>
        <v>0</v>
      </c>
      <c r="V43" s="186"/>
      <c r="W43" s="186"/>
      <c r="X43" s="353"/>
      <c r="Y43" s="2935" t="s">
        <v>3780</v>
      </c>
    </row>
    <row r="44" spans="1:25" ht="162">
      <c r="A44" s="3260"/>
      <c r="B44" s="3260"/>
      <c r="C44" s="3260"/>
      <c r="D44" s="3219"/>
      <c r="E44" s="294" t="s">
        <v>3846</v>
      </c>
      <c r="F44" s="294"/>
      <c r="G44" s="285" t="s">
        <v>3841</v>
      </c>
      <c r="H44" s="612">
        <v>1</v>
      </c>
      <c r="I44" s="285" t="s">
        <v>3847</v>
      </c>
      <c r="J44" s="285" t="s">
        <v>3848</v>
      </c>
      <c r="K44" s="332">
        <v>2</v>
      </c>
      <c r="L44" s="287">
        <v>1</v>
      </c>
      <c r="M44" s="485">
        <v>1</v>
      </c>
      <c r="N44" s="779">
        <v>0.17</v>
      </c>
      <c r="O44" s="3276"/>
      <c r="P44" s="286">
        <v>600000000</v>
      </c>
      <c r="Q44" s="286">
        <v>600000000</v>
      </c>
      <c r="R44" s="286">
        <v>600000000</v>
      </c>
      <c r="S44" s="286">
        <v>0</v>
      </c>
      <c r="T44" s="780">
        <f t="shared" si="5"/>
        <v>1</v>
      </c>
      <c r="U44" s="780">
        <f t="shared" si="5"/>
        <v>0</v>
      </c>
      <c r="V44" s="359">
        <v>45314</v>
      </c>
      <c r="W44" s="359">
        <v>45657</v>
      </c>
      <c r="X44" s="182" t="s">
        <v>5532</v>
      </c>
      <c r="Y44" s="2935"/>
    </row>
    <row r="45" spans="1:25">
      <c r="A45" s="342"/>
      <c r="B45" s="278">
        <v>53050030002</v>
      </c>
      <c r="C45" s="278" t="s">
        <v>103</v>
      </c>
      <c r="D45" s="329" t="s">
        <v>3849</v>
      </c>
      <c r="E45" s="294"/>
      <c r="F45" s="336"/>
      <c r="G45" s="749"/>
      <c r="H45" s="481">
        <f>H47</f>
        <v>0</v>
      </c>
      <c r="I45" s="529"/>
      <c r="J45" s="529"/>
      <c r="K45" s="294"/>
      <c r="L45" s="789"/>
      <c r="M45" s="485"/>
      <c r="N45" s="790"/>
      <c r="O45" s="790"/>
      <c r="P45" s="286"/>
      <c r="Q45" s="186"/>
      <c r="R45" s="186"/>
      <c r="S45" s="186"/>
      <c r="T45" s="780"/>
      <c r="U45" s="780"/>
      <c r="V45" s="186"/>
      <c r="W45" s="186"/>
      <c r="X45" s="353"/>
      <c r="Y45" s="353"/>
    </row>
    <row r="46" spans="1:25" ht="16.5" customHeight="1">
      <c r="A46" s="3260">
        <v>4163</v>
      </c>
      <c r="B46" s="3260"/>
      <c r="C46" s="3260" t="s">
        <v>109</v>
      </c>
      <c r="D46" s="3219" t="s">
        <v>3850</v>
      </c>
      <c r="E46" s="294" t="s">
        <v>3851</v>
      </c>
      <c r="F46" s="341"/>
      <c r="G46" s="282"/>
      <c r="H46" s="360">
        <f>H47</f>
        <v>0</v>
      </c>
      <c r="I46" s="529"/>
      <c r="J46" s="529"/>
      <c r="K46" s="332">
        <f>K47</f>
        <v>1</v>
      </c>
      <c r="L46" s="287">
        <f>L47</f>
        <v>1</v>
      </c>
      <c r="M46" s="485"/>
      <c r="N46" s="779">
        <f>SUM(N47:N47)</f>
        <v>0.44</v>
      </c>
      <c r="O46" s="3276">
        <f>IF(Q46&gt;0, N46,"na")</f>
        <v>0.44</v>
      </c>
      <c r="P46" s="286">
        <f>SUM(P47:P47)</f>
        <v>727298080</v>
      </c>
      <c r="Q46" s="286">
        <f>SUM(Q47:Q47)</f>
        <v>727298080</v>
      </c>
      <c r="R46" s="286">
        <f>SUM(R47:R47)</f>
        <v>322199999</v>
      </c>
      <c r="S46" s="286">
        <f>SUM(S47:S47)</f>
        <v>97173000</v>
      </c>
      <c r="T46" s="780">
        <f t="shared" si="5"/>
        <v>0.44300955531190184</v>
      </c>
      <c r="U46" s="780">
        <f t="shared" si="5"/>
        <v>0.30159217970698998</v>
      </c>
      <c r="V46" s="186"/>
      <c r="W46" s="186"/>
      <c r="X46" s="353"/>
      <c r="Y46" s="2935" t="s">
        <v>3780</v>
      </c>
    </row>
    <row r="47" spans="1:25" ht="189">
      <c r="A47" s="3260"/>
      <c r="B47" s="3260"/>
      <c r="C47" s="3260"/>
      <c r="D47" s="3219" t="s">
        <v>3852</v>
      </c>
      <c r="E47" s="294" t="s">
        <v>3853</v>
      </c>
      <c r="F47" s="294"/>
      <c r="G47" s="285" t="s">
        <v>3854</v>
      </c>
      <c r="H47" s="612">
        <v>0</v>
      </c>
      <c r="I47" s="285" t="s">
        <v>3855</v>
      </c>
      <c r="J47" s="285" t="s">
        <v>193</v>
      </c>
      <c r="K47" s="332">
        <v>1</v>
      </c>
      <c r="L47" s="287">
        <v>1</v>
      </c>
      <c r="M47" s="485">
        <v>0</v>
      </c>
      <c r="N47" s="779">
        <v>0.44</v>
      </c>
      <c r="O47" s="3276"/>
      <c r="P47" s="286">
        <v>727298080</v>
      </c>
      <c r="Q47" s="286">
        <v>727298080</v>
      </c>
      <c r="R47" s="286">
        <v>322199999</v>
      </c>
      <c r="S47" s="286">
        <v>97173000</v>
      </c>
      <c r="T47" s="780">
        <f t="shared" si="5"/>
        <v>0.44300955531190184</v>
      </c>
      <c r="U47" s="780">
        <f t="shared" si="5"/>
        <v>0.30159217970698998</v>
      </c>
      <c r="V47" s="359">
        <v>45314</v>
      </c>
      <c r="W47" s="359">
        <v>45657</v>
      </c>
      <c r="X47" s="182" t="s">
        <v>5533</v>
      </c>
      <c r="Y47" s="2935"/>
    </row>
    <row r="48" spans="1:25">
      <c r="A48" s="328"/>
      <c r="B48" s="278">
        <v>53050030003</v>
      </c>
      <c r="C48" s="591" t="s">
        <v>103</v>
      </c>
      <c r="D48" s="329" t="s">
        <v>3856</v>
      </c>
      <c r="E48" s="278"/>
      <c r="F48" s="782">
        <v>0.33</v>
      </c>
      <c r="G48" s="776"/>
      <c r="H48" s="795">
        <f>SUM(H51)</f>
        <v>0</v>
      </c>
      <c r="I48" s="277"/>
      <c r="J48" s="277"/>
      <c r="K48" s="278"/>
      <c r="L48" s="294"/>
      <c r="M48" s="485"/>
      <c r="N48" s="790"/>
      <c r="O48" s="731"/>
      <c r="P48" s="281"/>
      <c r="Q48" s="186"/>
      <c r="R48" s="186"/>
      <c r="S48" s="186"/>
      <c r="T48" s="186"/>
      <c r="U48" s="186"/>
      <c r="V48" s="186"/>
      <c r="W48" s="186"/>
      <c r="X48" s="353"/>
      <c r="Y48" s="353"/>
    </row>
    <row r="49" spans="1:25">
      <c r="A49" s="3260">
        <v>4163</v>
      </c>
      <c r="B49" s="3260"/>
      <c r="C49" s="3260" t="s">
        <v>109</v>
      </c>
      <c r="D49" s="3219" t="s">
        <v>3857</v>
      </c>
      <c r="E49" s="294" t="s">
        <v>3858</v>
      </c>
      <c r="F49" s="294"/>
      <c r="G49" s="778"/>
      <c r="H49" s="783">
        <f>SUM(H50)</f>
        <v>0</v>
      </c>
      <c r="I49" s="285"/>
      <c r="J49" s="285"/>
      <c r="K49" s="286">
        <v>1</v>
      </c>
      <c r="L49" s="287">
        <f>SUM(L50:L52)</f>
        <v>1</v>
      </c>
      <c r="M49" s="353"/>
      <c r="N49" s="779">
        <f>SUM(N50:N52)</f>
        <v>0.39700000000000002</v>
      </c>
      <c r="O49" s="3261">
        <f>IF(Q49&gt;0, N49,"na")</f>
        <v>0.39700000000000002</v>
      </c>
      <c r="P49" s="286">
        <f>SUM(P50:P52)</f>
        <v>2191552917</v>
      </c>
      <c r="Q49" s="286">
        <f>SUM(Q50:Q52)</f>
        <v>2191552917</v>
      </c>
      <c r="R49" s="286">
        <f>SUM(R50:R52)</f>
        <v>1322925013</v>
      </c>
      <c r="S49" s="286">
        <f>SUM(S50:S52)</f>
        <v>716664000</v>
      </c>
      <c r="T49" s="780">
        <f t="shared" ref="T49:U52" si="6">IF(Q49=0,0,R49/Q49)</f>
        <v>0.60364730540522016</v>
      </c>
      <c r="U49" s="780">
        <f t="shared" si="6"/>
        <v>0.54172684994051135</v>
      </c>
      <c r="V49" s="186"/>
      <c r="W49" s="186"/>
      <c r="X49" s="1757"/>
      <c r="Y49" s="1758"/>
    </row>
    <row r="50" spans="1:25" ht="175.5">
      <c r="A50" s="3260"/>
      <c r="B50" s="3260"/>
      <c r="C50" s="3260"/>
      <c r="D50" s="3219"/>
      <c r="E50" s="294" t="s">
        <v>3859</v>
      </c>
      <c r="F50" s="294"/>
      <c r="G50" s="285"/>
      <c r="H50" s="796"/>
      <c r="I50" s="285" t="s">
        <v>3860</v>
      </c>
      <c r="J50" s="285" t="s">
        <v>3861</v>
      </c>
      <c r="K50" s="286">
        <v>1900</v>
      </c>
      <c r="L50" s="287">
        <v>0.4</v>
      </c>
      <c r="M50" s="797">
        <v>484</v>
      </c>
      <c r="N50" s="779">
        <v>0.13800000000000001</v>
      </c>
      <c r="O50" s="3261"/>
      <c r="P50" s="286">
        <v>1512134998</v>
      </c>
      <c r="Q50" s="286">
        <v>1482741998</v>
      </c>
      <c r="R50" s="286">
        <v>829925500</v>
      </c>
      <c r="S50" s="286">
        <v>448697500</v>
      </c>
      <c r="T50" s="780">
        <f t="shared" si="6"/>
        <v>0.55972347253901689</v>
      </c>
      <c r="U50" s="780">
        <f t="shared" si="6"/>
        <v>0.54064792562705932</v>
      </c>
      <c r="V50" s="359">
        <v>45315</v>
      </c>
      <c r="W50" s="359">
        <v>45657</v>
      </c>
      <c r="X50" s="182" t="s">
        <v>5534</v>
      </c>
      <c r="Y50" s="3281" t="s">
        <v>3780</v>
      </c>
    </row>
    <row r="51" spans="1:25" ht="108">
      <c r="A51" s="3262"/>
      <c r="B51" s="3262"/>
      <c r="C51" s="3262"/>
      <c r="D51" s="3265"/>
      <c r="E51" s="1750" t="s">
        <v>3862</v>
      </c>
      <c r="F51" s="1750"/>
      <c r="G51" s="1751" t="s">
        <v>3863</v>
      </c>
      <c r="H51" s="1759">
        <v>0</v>
      </c>
      <c r="I51" s="1751" t="s">
        <v>3864</v>
      </c>
      <c r="J51" s="1751" t="s">
        <v>3865</v>
      </c>
      <c r="K51" s="1754">
        <v>1</v>
      </c>
      <c r="L51" s="1760">
        <v>0.3</v>
      </c>
      <c r="M51" s="1761">
        <v>1</v>
      </c>
      <c r="N51" s="1762">
        <v>0.13900000000000001</v>
      </c>
      <c r="O51" s="3271"/>
      <c r="P51" s="1754">
        <v>549313859</v>
      </c>
      <c r="Q51" s="1754">
        <v>578706859</v>
      </c>
      <c r="R51" s="1754">
        <v>492999513</v>
      </c>
      <c r="S51" s="1754">
        <v>267966500</v>
      </c>
      <c r="T51" s="780">
        <f t="shared" si="6"/>
        <v>0.85189851361343549</v>
      </c>
      <c r="U51" s="780">
        <f t="shared" si="6"/>
        <v>0.5435431332768883</v>
      </c>
      <c r="V51" s="1763">
        <v>45315</v>
      </c>
      <c r="W51" s="1763">
        <v>45657</v>
      </c>
      <c r="X51" s="1764" t="s">
        <v>5535</v>
      </c>
      <c r="Y51" s="3282"/>
    </row>
    <row r="52" spans="1:25" ht="54">
      <c r="A52" s="3278"/>
      <c r="B52" s="3278"/>
      <c r="C52" s="3278"/>
      <c r="D52" s="3279"/>
      <c r="E52" s="1765" t="s">
        <v>3866</v>
      </c>
      <c r="F52" s="1765"/>
      <c r="G52" s="1766"/>
      <c r="H52" s="1767"/>
      <c r="I52" s="1766" t="s">
        <v>3867</v>
      </c>
      <c r="J52" s="1766" t="s">
        <v>206</v>
      </c>
      <c r="K52" s="1768">
        <v>1</v>
      </c>
      <c r="L52" s="1769">
        <v>0.3</v>
      </c>
      <c r="M52" s="1770">
        <v>0</v>
      </c>
      <c r="N52" s="1771">
        <v>0.12</v>
      </c>
      <c r="O52" s="3280"/>
      <c r="P52" s="1768">
        <v>130104060</v>
      </c>
      <c r="Q52" s="1768">
        <v>130104060</v>
      </c>
      <c r="R52" s="1768">
        <v>0</v>
      </c>
      <c r="S52" s="1768">
        <v>0</v>
      </c>
      <c r="T52" s="1772">
        <f t="shared" si="6"/>
        <v>0</v>
      </c>
      <c r="U52" s="1772">
        <f t="shared" si="6"/>
        <v>0</v>
      </c>
      <c r="V52" s="1773">
        <v>45315</v>
      </c>
      <c r="W52" s="1773">
        <v>45657</v>
      </c>
      <c r="X52" s="1774" t="s">
        <v>5536</v>
      </c>
      <c r="Y52" s="2976"/>
    </row>
    <row r="54" spans="1:25">
      <c r="A54" s="47"/>
      <c r="B54" s="45" t="s">
        <v>36</v>
      </c>
      <c r="C54" s="350">
        <f>COUNTIF(C11:C52,"pr")</f>
        <v>12</v>
      </c>
      <c r="D54" s="45"/>
      <c r="E54" s="45" t="s">
        <v>112</v>
      </c>
      <c r="F54" s="45"/>
      <c r="G54" s="47">
        <f>COUNTIF(O11:O52,"na")</f>
        <v>0</v>
      </c>
      <c r="H54" s="45"/>
      <c r="I54" s="45"/>
      <c r="J54" s="47"/>
      <c r="K54" s="48"/>
      <c r="L54" s="48"/>
      <c r="M54" s="45"/>
      <c r="N54" s="798" t="s">
        <v>113</v>
      </c>
      <c r="O54" s="618">
        <f>AVERAGE(O11:O52)</f>
        <v>0.29016666666666668</v>
      </c>
      <c r="P54" s="619">
        <f>P11+P29+P35+P40+P43+P46+P49+P25+P31+P21+P17</f>
        <v>40338974050</v>
      </c>
      <c r="Q54" s="619">
        <f>Q11+Q29+Q35+Q40+Q43+Q46+Q49+Q25+Q31+Q21+Q17+Q13</f>
        <v>52486857043</v>
      </c>
      <c r="R54" s="619">
        <f>R11+R29+R35+R40+R43+R46+R49+R25+R31+R21+R17+R13</f>
        <v>38505646906</v>
      </c>
      <c r="S54" s="619">
        <f>S11+S29+S35+S40+S43+S46+S49+S25+S31+S21+S17+S13</f>
        <v>26915524123</v>
      </c>
      <c r="T54" s="621">
        <f>IF(Q54=0,0,R54/Q54)</f>
        <v>0.73362455051279107</v>
      </c>
      <c r="U54" s="621">
        <f>IF(R54=0,0,S54/R54)</f>
        <v>0.69900199803696816</v>
      </c>
      <c r="V54" s="45"/>
      <c r="W54" s="45"/>
    </row>
    <row r="55" spans="1:25">
      <c r="A55" s="47"/>
      <c r="B55" s="45"/>
      <c r="C55" s="47"/>
      <c r="D55" s="45"/>
      <c r="E55" s="45"/>
      <c r="F55" s="45"/>
      <c r="G55" s="45"/>
      <c r="H55" s="45"/>
      <c r="I55" s="45"/>
      <c r="J55" s="47"/>
      <c r="K55" s="48"/>
      <c r="L55" s="48"/>
      <c r="M55" s="3277" t="s">
        <v>119</v>
      </c>
      <c r="N55" s="3277"/>
      <c r="O55" s="47">
        <f>COUNTIF(O11:O52,0)</f>
        <v>1</v>
      </c>
      <c r="P55" s="619">
        <v>40338974050</v>
      </c>
      <c r="Q55" s="619">
        <v>52486857043</v>
      </c>
      <c r="R55" s="619">
        <v>38505646906</v>
      </c>
      <c r="S55" s="619">
        <v>26915524123</v>
      </c>
      <c r="T55" s="799"/>
      <c r="U55" s="799"/>
      <c r="V55" s="45"/>
      <c r="W55" s="45"/>
    </row>
  </sheetData>
  <mergeCells count="106">
    <mergeCell ref="M55:N55"/>
    <mergeCell ref="Y40:Y42"/>
    <mergeCell ref="A46:A47"/>
    <mergeCell ref="B46:B47"/>
    <mergeCell ref="C46:C47"/>
    <mergeCell ref="D46:D47"/>
    <mergeCell ref="O46:O47"/>
    <mergeCell ref="Y46:Y47"/>
    <mergeCell ref="A49:A52"/>
    <mergeCell ref="B49:B52"/>
    <mergeCell ref="C49:C52"/>
    <mergeCell ref="D49:D52"/>
    <mergeCell ref="O49:O52"/>
    <mergeCell ref="Y50:Y52"/>
    <mergeCell ref="A43:A44"/>
    <mergeCell ref="B43:B44"/>
    <mergeCell ref="C43:C44"/>
    <mergeCell ref="D43:D44"/>
    <mergeCell ref="O43:O44"/>
    <mergeCell ref="Y43:Y44"/>
    <mergeCell ref="A40:A42"/>
    <mergeCell ref="B40:B42"/>
    <mergeCell ref="C40:C42"/>
    <mergeCell ref="D40:D42"/>
    <mergeCell ref="A25:A26"/>
    <mergeCell ref="B25:B26"/>
    <mergeCell ref="C25:C26"/>
    <mergeCell ref="D25:D26"/>
    <mergeCell ref="O25:O26"/>
    <mergeCell ref="Y25:Y26"/>
    <mergeCell ref="A29:A30"/>
    <mergeCell ref="B29:B30"/>
    <mergeCell ref="C29:C30"/>
    <mergeCell ref="D29:D30"/>
    <mergeCell ref="O29:O30"/>
    <mergeCell ref="Y29:Y30"/>
    <mergeCell ref="O40:O42"/>
    <mergeCell ref="A31:A33"/>
    <mergeCell ref="B31:B33"/>
    <mergeCell ref="C31:C33"/>
    <mergeCell ref="D31:D33"/>
    <mergeCell ref="O31:O33"/>
    <mergeCell ref="Y32:Y33"/>
    <mergeCell ref="A35:A37"/>
    <mergeCell ref="B35:B37"/>
    <mergeCell ref="C35:C37"/>
    <mergeCell ref="D35:D37"/>
    <mergeCell ref="O35:O37"/>
    <mergeCell ref="Y35:Y37"/>
    <mergeCell ref="Y18:Y19"/>
    <mergeCell ref="A17:A19"/>
    <mergeCell ref="B17:B19"/>
    <mergeCell ref="C17:C19"/>
    <mergeCell ref="D17:D19"/>
    <mergeCell ref="O17:O19"/>
    <mergeCell ref="G18:G19"/>
    <mergeCell ref="H18:H19"/>
    <mergeCell ref="A21:A23"/>
    <mergeCell ref="B21:B23"/>
    <mergeCell ref="C21:C23"/>
    <mergeCell ref="D21:D23"/>
    <mergeCell ref="O21:O23"/>
    <mergeCell ref="Y21:Y22"/>
    <mergeCell ref="A11:A12"/>
    <mergeCell ref="B11:B12"/>
    <mergeCell ref="C11:C12"/>
    <mergeCell ref="D11:D12"/>
    <mergeCell ref="O11:O12"/>
    <mergeCell ref="A13:A15"/>
    <mergeCell ref="B13:B15"/>
    <mergeCell ref="C13:C15"/>
    <mergeCell ref="D13:D15"/>
    <mergeCell ref="O13:O15"/>
    <mergeCell ref="V5:V6"/>
    <mergeCell ref="J5:J6"/>
    <mergeCell ref="U5:U6"/>
    <mergeCell ref="N5:N6"/>
    <mergeCell ref="D5:D6"/>
    <mergeCell ref="E5:E6"/>
    <mergeCell ref="F5:F6"/>
    <mergeCell ref="C5:C6"/>
    <mergeCell ref="Y11:Y12"/>
    <mergeCell ref="A1:X1"/>
    <mergeCell ref="A2:Y2"/>
    <mergeCell ref="A3:B3"/>
    <mergeCell ref="W5:W6"/>
    <mergeCell ref="L5:L6"/>
    <mergeCell ref="O5:O6"/>
    <mergeCell ref="X5:X6"/>
    <mergeCell ref="Q5:Q6"/>
    <mergeCell ref="S3:U3"/>
    <mergeCell ref="M5:M6"/>
    <mergeCell ref="T5:T6"/>
    <mergeCell ref="C3:R3"/>
    <mergeCell ref="P5:P6"/>
    <mergeCell ref="I5:I6"/>
    <mergeCell ref="G5:G6"/>
    <mergeCell ref="H5:H6"/>
    <mergeCell ref="V3:W3"/>
    <mergeCell ref="K5:K6"/>
    <mergeCell ref="Y5:Y6"/>
    <mergeCell ref="S5:S6"/>
    <mergeCell ref="R5:R6"/>
    <mergeCell ref="A4:Y4"/>
    <mergeCell ref="A5:A6"/>
    <mergeCell ref="B5:B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Y148"/>
  <sheetViews>
    <sheetView topLeftCell="A142" zoomScale="70" zoomScaleNormal="70" zoomScaleSheetLayoutView="100" workbookViewId="0">
      <selection activeCell="S156" sqref="S156"/>
    </sheetView>
  </sheetViews>
  <sheetFormatPr baseColWidth="10" defaultColWidth="11.42578125" defaultRowHeight="16.5"/>
  <cols>
    <col min="1" max="1" width="13" style="2" customWidth="1"/>
    <col min="2" max="2" width="18.140625" style="3" customWidth="1"/>
    <col min="3" max="3" width="8.5703125" style="2" customWidth="1"/>
    <col min="4" max="4" width="55" style="3" customWidth="1"/>
    <col min="5" max="5" width="17.85546875" style="3" customWidth="1"/>
    <col min="6" max="6" width="12.42578125" style="3" customWidth="1"/>
    <col min="7" max="7" width="14.5703125" style="3" customWidth="1"/>
    <col min="8" max="8" width="12.42578125" style="3" customWidth="1"/>
    <col min="9" max="9" width="23.5703125" style="3" customWidth="1"/>
    <col min="10" max="10" width="17.5703125" style="2" customWidth="1"/>
    <col min="11" max="13" width="13.140625" style="16" customWidth="1"/>
    <col min="14" max="14" width="12.7109375" style="3" customWidth="1"/>
    <col min="15" max="15" width="11.7109375" style="2" customWidth="1"/>
    <col min="16" max="16" width="20.42578125" style="3" customWidth="1"/>
    <col min="17" max="17" width="18.140625" style="3" customWidth="1"/>
    <col min="18" max="18" width="17.42578125" style="3" customWidth="1"/>
    <col min="19" max="19" width="21.85546875" style="3" customWidth="1"/>
    <col min="20" max="20" width="12.7109375" style="3" customWidth="1"/>
    <col min="21" max="21" width="18.85546875" style="3" customWidth="1"/>
    <col min="22" max="23" width="10.7109375" style="3" customWidth="1"/>
    <col min="24" max="24" width="29" style="3" customWidth="1"/>
    <col min="25" max="25" width="17.140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58</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5" ht="50.1" customHeight="1">
      <c r="A5" s="3283" t="s">
        <v>74</v>
      </c>
      <c r="B5" s="3283" t="s">
        <v>4</v>
      </c>
      <c r="C5" s="3283" t="s">
        <v>3</v>
      </c>
      <c r="D5" s="3283" t="s">
        <v>94</v>
      </c>
      <c r="E5" s="3283" t="s">
        <v>2</v>
      </c>
      <c r="F5" s="3283" t="s">
        <v>75</v>
      </c>
      <c r="G5" s="2940" t="s">
        <v>92</v>
      </c>
      <c r="H5" s="3291" t="s">
        <v>93</v>
      </c>
      <c r="I5" s="3283" t="s">
        <v>8</v>
      </c>
      <c r="J5" s="3283" t="s">
        <v>9</v>
      </c>
      <c r="K5" s="3283" t="s">
        <v>10</v>
      </c>
      <c r="L5" s="3283" t="s">
        <v>11</v>
      </c>
      <c r="M5" s="3287" t="s">
        <v>86</v>
      </c>
      <c r="N5" s="3285" t="s">
        <v>12</v>
      </c>
      <c r="O5" s="3287" t="s">
        <v>72</v>
      </c>
      <c r="P5" s="3289" t="s">
        <v>1</v>
      </c>
      <c r="Q5" s="3287" t="s">
        <v>13</v>
      </c>
      <c r="R5" s="3287" t="s">
        <v>14</v>
      </c>
      <c r="S5" s="3287" t="s">
        <v>16</v>
      </c>
      <c r="T5" s="3287" t="s">
        <v>15</v>
      </c>
      <c r="U5" s="3287" t="s">
        <v>89</v>
      </c>
      <c r="V5" s="3289" t="s">
        <v>6</v>
      </c>
      <c r="W5" s="3289" t="s">
        <v>7</v>
      </c>
      <c r="X5" s="3287" t="s">
        <v>0</v>
      </c>
      <c r="Y5" s="3287" t="s">
        <v>76</v>
      </c>
    </row>
    <row r="6" spans="1:25" ht="49.5" customHeight="1">
      <c r="A6" s="3284"/>
      <c r="B6" s="3284"/>
      <c r="C6" s="3284"/>
      <c r="D6" s="3284"/>
      <c r="E6" s="3284"/>
      <c r="F6" s="3284"/>
      <c r="G6" s="2941"/>
      <c r="H6" s="3292"/>
      <c r="I6" s="3284"/>
      <c r="J6" s="3284"/>
      <c r="K6" s="3284"/>
      <c r="L6" s="3284"/>
      <c r="M6" s="3288"/>
      <c r="N6" s="3286"/>
      <c r="O6" s="3288"/>
      <c r="P6" s="3290"/>
      <c r="Q6" s="3288"/>
      <c r="R6" s="3288"/>
      <c r="S6" s="3288"/>
      <c r="T6" s="3288"/>
      <c r="U6" s="3288"/>
      <c r="V6" s="3290"/>
      <c r="W6" s="3290"/>
      <c r="X6" s="3288"/>
      <c r="Y6" s="3288"/>
    </row>
    <row r="7" spans="1:25">
      <c r="A7" s="72"/>
      <c r="B7" s="72">
        <v>52</v>
      </c>
      <c r="C7" s="72" t="s">
        <v>100</v>
      </c>
      <c r="D7" s="1461" t="s">
        <v>2338</v>
      </c>
      <c r="E7" s="1461"/>
      <c r="F7" s="72"/>
      <c r="G7" s="1461"/>
      <c r="H7" s="72"/>
      <c r="I7" s="1775"/>
      <c r="J7" s="72"/>
      <c r="K7" s="1264"/>
      <c r="L7" s="680"/>
      <c r="M7" s="92"/>
      <c r="N7" s="1445"/>
      <c r="O7" s="1776"/>
      <c r="P7" s="1777"/>
      <c r="Q7" s="1778"/>
      <c r="R7" s="1778"/>
      <c r="S7" s="1778"/>
      <c r="T7" s="92"/>
      <c r="U7" s="92"/>
      <c r="V7" s="92"/>
      <c r="W7" s="92"/>
      <c r="X7" s="110"/>
      <c r="Y7" s="92"/>
    </row>
    <row r="8" spans="1:25">
      <c r="A8" s="72"/>
      <c r="B8" s="72">
        <v>5201</v>
      </c>
      <c r="C8" s="72" t="s">
        <v>101</v>
      </c>
      <c r="D8" s="1461" t="s">
        <v>1178</v>
      </c>
      <c r="E8" s="1461"/>
      <c r="F8" s="72"/>
      <c r="G8" s="1461"/>
      <c r="H8" s="72"/>
      <c r="I8" s="1775"/>
      <c r="J8" s="72"/>
      <c r="K8" s="1264"/>
      <c r="L8" s="680"/>
      <c r="M8" s="92"/>
      <c r="N8" s="1445"/>
      <c r="O8" s="1776"/>
      <c r="P8" s="1777"/>
      <c r="Q8" s="1778"/>
      <c r="R8" s="1778"/>
      <c r="S8" s="1778"/>
      <c r="T8" s="92"/>
      <c r="U8" s="92"/>
      <c r="V8" s="92"/>
      <c r="W8" s="92"/>
      <c r="X8" s="110"/>
      <c r="Y8" s="92"/>
    </row>
    <row r="9" spans="1:25">
      <c r="A9" s="72"/>
      <c r="B9" s="72">
        <v>5201001</v>
      </c>
      <c r="C9" s="72" t="s">
        <v>102</v>
      </c>
      <c r="D9" s="1461" t="s">
        <v>1179</v>
      </c>
      <c r="E9" s="1461"/>
      <c r="F9" s="72"/>
      <c r="G9" s="1461"/>
      <c r="H9" s="72"/>
      <c r="I9" s="1775"/>
      <c r="J9" s="72"/>
      <c r="K9" s="1264"/>
      <c r="L9" s="680"/>
      <c r="M9" s="92"/>
      <c r="N9" s="1445"/>
      <c r="O9" s="1776"/>
      <c r="P9" s="1777"/>
      <c r="Q9" s="1778"/>
      <c r="R9" s="1778"/>
      <c r="S9" s="1778"/>
      <c r="T9" s="92"/>
      <c r="U9" s="92"/>
      <c r="V9" s="92"/>
      <c r="W9" s="92"/>
      <c r="X9" s="110"/>
      <c r="Y9" s="92"/>
    </row>
    <row r="10" spans="1:25">
      <c r="A10" s="72"/>
      <c r="B10" s="72">
        <v>52010010001</v>
      </c>
      <c r="C10" s="72" t="s">
        <v>103</v>
      </c>
      <c r="D10" s="110" t="s">
        <v>3868</v>
      </c>
      <c r="E10" s="1461"/>
      <c r="F10" s="73">
        <v>1</v>
      </c>
      <c r="G10" s="1461"/>
      <c r="H10" s="72">
        <f>SUM(H11)</f>
        <v>1</v>
      </c>
      <c r="I10" s="1775"/>
      <c r="J10" s="72"/>
      <c r="K10" s="1264"/>
      <c r="L10" s="680"/>
      <c r="M10" s="92"/>
      <c r="N10" s="1445"/>
      <c r="O10" s="1779"/>
      <c r="P10" s="1777"/>
      <c r="Q10" s="1778"/>
      <c r="R10" s="1778"/>
      <c r="S10" s="1778"/>
      <c r="T10" s="92"/>
      <c r="U10" s="92"/>
      <c r="V10" s="92"/>
      <c r="W10" s="92"/>
      <c r="X10" s="110"/>
      <c r="Y10" s="92"/>
    </row>
    <row r="11" spans="1:25">
      <c r="A11" s="72">
        <v>4164</v>
      </c>
      <c r="B11" s="933"/>
      <c r="C11" s="72" t="s">
        <v>451</v>
      </c>
      <c r="D11" s="92" t="s">
        <v>3869</v>
      </c>
      <c r="E11" s="1780" t="s">
        <v>3870</v>
      </c>
      <c r="F11" s="72"/>
      <c r="G11" s="1461"/>
      <c r="H11" s="72">
        <v>1</v>
      </c>
      <c r="I11" s="1293"/>
      <c r="J11" s="72"/>
      <c r="K11" s="1264">
        <f>SUM(K13)</f>
        <v>250</v>
      </c>
      <c r="L11" s="1444">
        <f>L12+L13+L14</f>
        <v>1</v>
      </c>
      <c r="M11" s="656"/>
      <c r="N11" s="1444">
        <f>N12+N13+N14</f>
        <v>0.58160000000000001</v>
      </c>
      <c r="O11" s="1781">
        <f>IF(Q11&gt;0, N11,"na")</f>
        <v>0.58160000000000001</v>
      </c>
      <c r="P11" s="1782">
        <v>142748600</v>
      </c>
      <c r="Q11" s="1782">
        <v>142748600</v>
      </c>
      <c r="R11" s="1782">
        <v>121072000</v>
      </c>
      <c r="S11" s="1782">
        <v>67812000</v>
      </c>
      <c r="T11" s="75">
        <f t="shared" ref="T11:U14" si="0">IF(Q11=0,0,R11/Q11)</f>
        <v>0.84814842317192607</v>
      </c>
      <c r="U11" s="75">
        <f>IF(R11=0,0,S11/R11)</f>
        <v>0.56009647152107833</v>
      </c>
      <c r="V11" s="1783">
        <v>45308</v>
      </c>
      <c r="W11" s="1784">
        <v>45657</v>
      </c>
      <c r="X11" s="1156"/>
      <c r="Y11" s="92"/>
    </row>
    <row r="12" spans="1:25" ht="108">
      <c r="A12" s="72"/>
      <c r="B12" s="1295"/>
      <c r="C12" s="72"/>
      <c r="D12" s="92"/>
      <c r="E12" s="92" t="s">
        <v>3871</v>
      </c>
      <c r="F12" s="92"/>
      <c r="G12" s="92"/>
      <c r="H12" s="92"/>
      <c r="I12" s="92" t="s">
        <v>3872</v>
      </c>
      <c r="J12" s="92" t="s">
        <v>3873</v>
      </c>
      <c r="K12" s="92">
        <v>1</v>
      </c>
      <c r="L12" s="1445">
        <v>0.25</v>
      </c>
      <c r="M12" s="1785">
        <v>0.5</v>
      </c>
      <c r="N12" s="1445">
        <v>0.125</v>
      </c>
      <c r="O12" s="1445"/>
      <c r="P12" s="1778">
        <v>75701600</v>
      </c>
      <c r="Q12" s="1778">
        <v>75701600</v>
      </c>
      <c r="R12" s="1778">
        <v>61010000</v>
      </c>
      <c r="S12" s="1778">
        <v>33892000</v>
      </c>
      <c r="T12" s="75">
        <f t="shared" si="0"/>
        <v>0.80592748369915568</v>
      </c>
      <c r="U12" s="75">
        <f t="shared" si="0"/>
        <v>0.55551548926405503</v>
      </c>
      <c r="V12" s="1460"/>
      <c r="W12" s="1460"/>
      <c r="X12" s="1786" t="s">
        <v>5537</v>
      </c>
      <c r="Y12" s="92" t="s">
        <v>84</v>
      </c>
    </row>
    <row r="13" spans="1:25" ht="135">
      <c r="A13" s="72"/>
      <c r="B13" s="1295"/>
      <c r="C13" s="72"/>
      <c r="D13" s="92"/>
      <c r="E13" s="92" t="s">
        <v>3874</v>
      </c>
      <c r="F13" s="92"/>
      <c r="G13" s="92" t="s">
        <v>3868</v>
      </c>
      <c r="H13" s="92">
        <v>0.9</v>
      </c>
      <c r="I13" s="92" t="s">
        <v>3875</v>
      </c>
      <c r="J13" s="92" t="s">
        <v>106</v>
      </c>
      <c r="K13" s="92">
        <v>250</v>
      </c>
      <c r="L13" s="1445">
        <v>0.28000000000000003</v>
      </c>
      <c r="M13" s="1785">
        <v>92</v>
      </c>
      <c r="N13" s="1445">
        <v>0.18659999999999999</v>
      </c>
      <c r="O13" s="1445"/>
      <c r="P13" s="1778">
        <v>67047000</v>
      </c>
      <c r="Q13" s="1778">
        <v>67047000</v>
      </c>
      <c r="R13" s="1778">
        <v>60062000</v>
      </c>
      <c r="S13" s="1778">
        <v>33920000</v>
      </c>
      <c r="T13" s="75">
        <f t="shared" si="0"/>
        <v>0.89581935060479967</v>
      </c>
      <c r="U13" s="75">
        <f t="shared" si="0"/>
        <v>0.56474975858279775</v>
      </c>
      <c r="V13" s="1460"/>
      <c r="W13" s="1460"/>
      <c r="X13" s="1787" t="s">
        <v>5538</v>
      </c>
      <c r="Y13" s="92" t="s">
        <v>84</v>
      </c>
    </row>
    <row r="14" spans="1:25" ht="108">
      <c r="A14" s="72"/>
      <c r="B14" s="1286"/>
      <c r="C14" s="72"/>
      <c r="D14" s="92"/>
      <c r="E14" s="92" t="s">
        <v>3876</v>
      </c>
      <c r="F14" s="92"/>
      <c r="G14" s="92"/>
      <c r="H14" s="92"/>
      <c r="I14" s="92" t="s">
        <v>3877</v>
      </c>
      <c r="J14" s="92" t="s">
        <v>1958</v>
      </c>
      <c r="K14" s="92">
        <v>2</v>
      </c>
      <c r="L14" s="1445">
        <v>0.47</v>
      </c>
      <c r="M14" s="1785">
        <v>1.2</v>
      </c>
      <c r="N14" s="1445">
        <v>0.27</v>
      </c>
      <c r="O14" s="1445"/>
      <c r="P14" s="1778">
        <v>67047000</v>
      </c>
      <c r="Q14" s="1778">
        <v>67047000</v>
      </c>
      <c r="R14" s="1778">
        <v>17752000</v>
      </c>
      <c r="S14" s="1778">
        <v>0</v>
      </c>
      <c r="T14" s="75">
        <f t="shared" si="0"/>
        <v>0.26476949005921219</v>
      </c>
      <c r="U14" s="75">
        <f t="shared" si="0"/>
        <v>0</v>
      </c>
      <c r="V14" s="1460"/>
      <c r="W14" s="1460"/>
      <c r="X14" s="1462" t="s">
        <v>5539</v>
      </c>
      <c r="Y14" s="92" t="s">
        <v>84</v>
      </c>
    </row>
    <row r="15" spans="1:25" ht="27">
      <c r="A15" s="72"/>
      <c r="B15" s="72">
        <v>52010010002</v>
      </c>
      <c r="C15" s="72" t="s">
        <v>103</v>
      </c>
      <c r="D15" s="92" t="s">
        <v>3878</v>
      </c>
      <c r="E15" s="92"/>
      <c r="F15" s="92">
        <v>1000</v>
      </c>
      <c r="G15" s="92"/>
      <c r="H15" s="92">
        <f>H16</f>
        <v>1000</v>
      </c>
      <c r="I15" s="92"/>
      <c r="J15" s="92"/>
      <c r="K15" s="92"/>
      <c r="L15" s="1445"/>
      <c r="M15" s="92"/>
      <c r="N15" s="1445"/>
      <c r="O15" s="1445"/>
      <c r="P15" s="1778"/>
      <c r="Q15" s="1778"/>
      <c r="R15" s="1778"/>
      <c r="S15" s="1778"/>
      <c r="T15" s="75"/>
      <c r="U15" s="75"/>
      <c r="V15" s="92"/>
      <c r="W15" s="92"/>
      <c r="X15" s="110"/>
      <c r="Y15" s="92"/>
    </row>
    <row r="16" spans="1:25" ht="27">
      <c r="A16" s="72">
        <v>4164</v>
      </c>
      <c r="B16" s="933"/>
      <c r="C16" s="72" t="s">
        <v>451</v>
      </c>
      <c r="D16" s="934" t="s">
        <v>3879</v>
      </c>
      <c r="E16" s="92" t="s">
        <v>3880</v>
      </c>
      <c r="F16" s="92"/>
      <c r="G16" s="92"/>
      <c r="H16" s="92">
        <v>1000</v>
      </c>
      <c r="I16" s="92"/>
      <c r="J16" s="92"/>
      <c r="K16" s="92">
        <f>+K18</f>
        <v>1000</v>
      </c>
      <c r="L16" s="1445">
        <f>L17+L18</f>
        <v>1</v>
      </c>
      <c r="M16" s="92"/>
      <c r="N16" s="1445">
        <f>N17+N18</f>
        <v>0.53</v>
      </c>
      <c r="O16" s="1445">
        <f>IF(Q16&gt;0, N16,"na")</f>
        <v>0.53</v>
      </c>
      <c r="P16" s="1778">
        <v>222152866</v>
      </c>
      <c r="Q16" s="1778">
        <v>515734906</v>
      </c>
      <c r="R16" s="1778">
        <v>215447000</v>
      </c>
      <c r="S16" s="1778">
        <v>69901000</v>
      </c>
      <c r="T16" s="75">
        <f>IF(Q16=0,0,R16/Q16)</f>
        <v>0.41774756273720204</v>
      </c>
      <c r="U16" s="75">
        <f>IF(R16=0,0,S16/R16)</f>
        <v>0.32444638356533162</v>
      </c>
      <c r="V16" s="1783">
        <v>44942</v>
      </c>
      <c r="W16" s="1784">
        <v>45291</v>
      </c>
      <c r="X16" s="110"/>
      <c r="Y16" s="92"/>
    </row>
    <row r="17" spans="1:25" ht="108">
      <c r="A17" s="72"/>
      <c r="B17" s="1295"/>
      <c r="C17" s="72"/>
      <c r="D17" s="1270"/>
      <c r="E17" s="92" t="s">
        <v>3881</v>
      </c>
      <c r="F17" s="92"/>
      <c r="G17" s="92"/>
      <c r="H17" s="92"/>
      <c r="I17" s="92" t="s">
        <v>3882</v>
      </c>
      <c r="J17" s="92" t="s">
        <v>122</v>
      </c>
      <c r="K17" s="92">
        <v>1</v>
      </c>
      <c r="L17" s="1445">
        <v>0.35</v>
      </c>
      <c r="M17" s="1785">
        <v>1</v>
      </c>
      <c r="N17" s="218">
        <v>0.18</v>
      </c>
      <c r="O17" s="1445"/>
      <c r="P17" s="1778">
        <v>76020320</v>
      </c>
      <c r="Q17" s="1778">
        <v>250604000</v>
      </c>
      <c r="R17" s="1778">
        <v>86146000</v>
      </c>
      <c r="S17" s="1778">
        <v>21145000</v>
      </c>
      <c r="T17" s="75">
        <f t="shared" ref="T17:U18" si="1">IF(Q17=0,0,R17/Q17)</f>
        <v>0.34375349156438045</v>
      </c>
      <c r="U17" s="75">
        <f t="shared" si="1"/>
        <v>0.24545538968727509</v>
      </c>
      <c r="V17" s="1460"/>
      <c r="W17" s="1460"/>
      <c r="X17" s="1462" t="s">
        <v>5540</v>
      </c>
      <c r="Y17" s="92" t="s">
        <v>84</v>
      </c>
    </row>
    <row r="18" spans="1:25" ht="121.5">
      <c r="A18" s="72"/>
      <c r="B18" s="1286"/>
      <c r="C18" s="72"/>
      <c r="D18" s="1280"/>
      <c r="E18" s="92" t="s">
        <v>3883</v>
      </c>
      <c r="F18" s="92"/>
      <c r="G18" s="92" t="s">
        <v>3878</v>
      </c>
      <c r="H18" s="92">
        <v>1000</v>
      </c>
      <c r="I18" s="92" t="s">
        <v>3884</v>
      </c>
      <c r="J18" s="92" t="s">
        <v>106</v>
      </c>
      <c r="K18" s="92">
        <v>1000</v>
      </c>
      <c r="L18" s="1445">
        <v>0.65</v>
      </c>
      <c r="M18" s="1785">
        <v>544</v>
      </c>
      <c r="N18" s="1445">
        <v>0.35</v>
      </c>
      <c r="O18" s="1445"/>
      <c r="P18" s="1778">
        <v>146132546</v>
      </c>
      <c r="Q18" s="1778">
        <v>265130906</v>
      </c>
      <c r="R18" s="1778">
        <v>129301000</v>
      </c>
      <c r="S18" s="1778">
        <v>48756000</v>
      </c>
      <c r="T18" s="75">
        <f t="shared" si="1"/>
        <v>0.48768739167662334</v>
      </c>
      <c r="U18" s="75">
        <f t="shared" si="1"/>
        <v>0.37707364985576292</v>
      </c>
      <c r="V18" s="1460"/>
      <c r="W18" s="1460"/>
      <c r="X18" s="1787" t="s">
        <v>5541</v>
      </c>
      <c r="Y18" s="92" t="s">
        <v>84</v>
      </c>
    </row>
    <row r="19" spans="1:25" ht="27">
      <c r="A19" s="73"/>
      <c r="B19" s="72">
        <v>52010010003</v>
      </c>
      <c r="C19" s="72" t="s">
        <v>103</v>
      </c>
      <c r="D19" s="1259" t="s">
        <v>3885</v>
      </c>
      <c r="E19" s="92"/>
      <c r="F19" s="92">
        <v>1300</v>
      </c>
      <c r="G19" s="92"/>
      <c r="H19" s="92">
        <f>SUM(H20)</f>
        <v>800</v>
      </c>
      <c r="I19" s="92"/>
      <c r="J19" s="92"/>
      <c r="K19" s="92"/>
      <c r="L19" s="1445"/>
      <c r="M19" s="92"/>
      <c r="N19" s="1445"/>
      <c r="O19" s="1445"/>
      <c r="P19" s="1778"/>
      <c r="Q19" s="1778"/>
      <c r="R19" s="1778"/>
      <c r="S19" s="1778"/>
      <c r="T19" s="75"/>
      <c r="U19" s="75"/>
      <c r="V19" s="92"/>
      <c r="W19" s="92"/>
      <c r="X19" s="110"/>
      <c r="Y19" s="92"/>
    </row>
    <row r="20" spans="1:25" ht="27">
      <c r="A20" s="72">
        <v>4164</v>
      </c>
      <c r="B20" s="933"/>
      <c r="C20" s="72" t="s">
        <v>451</v>
      </c>
      <c r="D20" s="934" t="s">
        <v>3886</v>
      </c>
      <c r="E20" s="92" t="s">
        <v>3887</v>
      </c>
      <c r="F20" s="92"/>
      <c r="G20" s="92"/>
      <c r="H20" s="92">
        <v>800</v>
      </c>
      <c r="I20" s="92"/>
      <c r="J20" s="92"/>
      <c r="K20" s="92">
        <f>+K23</f>
        <v>1000</v>
      </c>
      <c r="L20" s="1445">
        <f>L21+L22+L23+L24+L25</f>
        <v>1</v>
      </c>
      <c r="M20" s="92"/>
      <c r="N20" s="1445">
        <f>N21+N22+N23+N24+N25</f>
        <v>0.38329999999999997</v>
      </c>
      <c r="O20" s="1445">
        <f>IF(Q20&gt;0, N20,"na")</f>
        <v>0.38329999999999997</v>
      </c>
      <c r="P20" s="1778">
        <v>438016893</v>
      </c>
      <c r="Q20" s="1778">
        <v>676354293</v>
      </c>
      <c r="R20" s="1778">
        <v>306693000</v>
      </c>
      <c r="S20" s="1778">
        <v>117872000</v>
      </c>
      <c r="T20" s="75">
        <f t="shared" ref="T20:U25" si="2">IF(Q20=0,0,R20/Q20)</f>
        <v>0.45345021562537785</v>
      </c>
      <c r="U20" s="75">
        <f t="shared" si="2"/>
        <v>0.38433221495110748</v>
      </c>
      <c r="V20" s="1783">
        <v>44944</v>
      </c>
      <c r="W20" s="1784">
        <v>45291</v>
      </c>
      <c r="X20" s="110"/>
      <c r="Y20" s="92"/>
    </row>
    <row r="21" spans="1:25" ht="108">
      <c r="A21" s="72"/>
      <c r="B21" s="1295"/>
      <c r="C21" s="72"/>
      <c r="D21" s="1270"/>
      <c r="E21" s="92" t="s">
        <v>3888</v>
      </c>
      <c r="F21" s="92"/>
      <c r="G21" s="92"/>
      <c r="H21" s="92"/>
      <c r="I21" s="92" t="s">
        <v>3889</v>
      </c>
      <c r="J21" s="92" t="s">
        <v>2262</v>
      </c>
      <c r="K21" s="92">
        <v>4</v>
      </c>
      <c r="L21" s="1445">
        <v>0.19</v>
      </c>
      <c r="M21" s="208">
        <v>2</v>
      </c>
      <c r="N21" s="1445">
        <v>0.11</v>
      </c>
      <c r="O21" s="1445"/>
      <c r="P21" s="1778">
        <v>89581210</v>
      </c>
      <c r="Q21" s="1778">
        <v>142298530</v>
      </c>
      <c r="R21" s="1778">
        <v>78038000</v>
      </c>
      <c r="S21" s="1778">
        <v>38632000</v>
      </c>
      <c r="T21" s="75">
        <f t="shared" si="2"/>
        <v>0.54841044387457838</v>
      </c>
      <c r="U21" s="75">
        <f t="shared" si="2"/>
        <v>0.49504087752120762</v>
      </c>
      <c r="V21" s="1460"/>
      <c r="W21" s="1460"/>
      <c r="X21" s="1462" t="s">
        <v>5542</v>
      </c>
      <c r="Y21" s="92" t="s">
        <v>84</v>
      </c>
    </row>
    <row r="22" spans="1:25" ht="94.5">
      <c r="A22" s="72"/>
      <c r="B22" s="1295"/>
      <c r="C22" s="72"/>
      <c r="D22" s="1270"/>
      <c r="E22" s="92" t="s">
        <v>3890</v>
      </c>
      <c r="F22" s="92"/>
      <c r="G22" s="92"/>
      <c r="H22" s="92"/>
      <c r="I22" s="92" t="s">
        <v>3891</v>
      </c>
      <c r="J22" s="92" t="s">
        <v>3359</v>
      </c>
      <c r="K22" s="92">
        <v>1</v>
      </c>
      <c r="L22" s="1445">
        <v>0.16</v>
      </c>
      <c r="M22" s="1785">
        <v>0</v>
      </c>
      <c r="N22" s="1445">
        <v>0.09</v>
      </c>
      <c r="O22" s="1445"/>
      <c r="P22" s="1778">
        <v>47452508</v>
      </c>
      <c r="Q22" s="1778">
        <v>108162268</v>
      </c>
      <c r="R22" s="1778">
        <v>67918000</v>
      </c>
      <c r="S22" s="1778">
        <v>25363000</v>
      </c>
      <c r="T22" s="75">
        <f t="shared" si="2"/>
        <v>0.62792692179864429</v>
      </c>
      <c r="U22" s="75">
        <f t="shared" si="2"/>
        <v>0.37343561353396743</v>
      </c>
      <c r="V22" s="1460"/>
      <c r="W22" s="1460"/>
      <c r="X22" s="1462" t="s">
        <v>5543</v>
      </c>
      <c r="Y22" s="92" t="s">
        <v>84</v>
      </c>
    </row>
    <row r="23" spans="1:25" ht="162">
      <c r="A23" s="72"/>
      <c r="B23" s="1295"/>
      <c r="C23" s="72"/>
      <c r="D23" s="1270"/>
      <c r="E23" s="92" t="s">
        <v>3892</v>
      </c>
      <c r="F23" s="92"/>
      <c r="G23" s="92" t="s">
        <v>3893</v>
      </c>
      <c r="H23" s="92">
        <v>800</v>
      </c>
      <c r="I23" s="92" t="s">
        <v>5544</v>
      </c>
      <c r="J23" s="92" t="s">
        <v>106</v>
      </c>
      <c r="K23" s="92">
        <v>1000</v>
      </c>
      <c r="L23" s="1445">
        <v>0.13</v>
      </c>
      <c r="M23" s="1785">
        <v>313</v>
      </c>
      <c r="N23" s="1445">
        <v>0.05</v>
      </c>
      <c r="O23" s="1445"/>
      <c r="P23" s="1778">
        <v>69597585</v>
      </c>
      <c r="Q23" s="1778">
        <v>110500665</v>
      </c>
      <c r="R23" s="1778">
        <v>46860000</v>
      </c>
      <c r="S23" s="1778">
        <v>15620000</v>
      </c>
      <c r="T23" s="75">
        <f t="shared" si="2"/>
        <v>0.42406984609549636</v>
      </c>
      <c r="U23" s="75">
        <f t="shared" si="2"/>
        <v>0.33333333333333331</v>
      </c>
      <c r="V23" s="1460"/>
      <c r="W23" s="1460"/>
      <c r="X23" s="1462" t="s">
        <v>5545</v>
      </c>
      <c r="Y23" s="92" t="s">
        <v>84</v>
      </c>
    </row>
    <row r="24" spans="1:25" ht="94.5">
      <c r="A24" s="72"/>
      <c r="B24" s="1295"/>
      <c r="C24" s="72"/>
      <c r="D24" s="1270"/>
      <c r="E24" s="92" t="s">
        <v>3894</v>
      </c>
      <c r="F24" s="92"/>
      <c r="G24" s="92"/>
      <c r="H24" s="92"/>
      <c r="I24" s="92" t="s">
        <v>3895</v>
      </c>
      <c r="J24" s="92" t="s">
        <v>3896</v>
      </c>
      <c r="K24" s="92">
        <v>1</v>
      </c>
      <c r="L24" s="1445">
        <v>0.4</v>
      </c>
      <c r="M24" s="1788">
        <v>0</v>
      </c>
      <c r="N24" s="1445">
        <v>0.1333</v>
      </c>
      <c r="O24" s="1445"/>
      <c r="P24" s="1778">
        <v>198094400</v>
      </c>
      <c r="Q24" s="1778">
        <v>258559480</v>
      </c>
      <c r="R24" s="1778">
        <v>113877000</v>
      </c>
      <c r="S24" s="1778">
        <v>38257000</v>
      </c>
      <c r="T24" s="75">
        <f t="shared" si="2"/>
        <v>0.44042863947591476</v>
      </c>
      <c r="U24" s="75">
        <f t="shared" si="2"/>
        <v>0.3359501918736883</v>
      </c>
      <c r="V24" s="1460"/>
      <c r="W24" s="1460"/>
      <c r="X24" s="1462" t="s">
        <v>5546</v>
      </c>
      <c r="Y24" s="92" t="s">
        <v>84</v>
      </c>
    </row>
    <row r="25" spans="1:25" ht="27">
      <c r="A25" s="72"/>
      <c r="B25" s="1286"/>
      <c r="C25" s="72"/>
      <c r="D25" s="1280"/>
      <c r="E25" s="92" t="s">
        <v>3897</v>
      </c>
      <c r="F25" s="92"/>
      <c r="G25" s="92"/>
      <c r="H25" s="92"/>
      <c r="I25" s="92" t="s">
        <v>3898</v>
      </c>
      <c r="J25" s="92" t="s">
        <v>2229</v>
      </c>
      <c r="K25" s="92">
        <v>2</v>
      </c>
      <c r="L25" s="1445">
        <v>0.12</v>
      </c>
      <c r="M25" s="1785">
        <v>0</v>
      </c>
      <c r="N25" s="1445">
        <v>0</v>
      </c>
      <c r="O25" s="1445"/>
      <c r="P25" s="1778">
        <v>33291190</v>
      </c>
      <c r="Q25" s="1778">
        <v>56833350</v>
      </c>
      <c r="R25" s="1778">
        <v>0</v>
      </c>
      <c r="S25" s="1778">
        <v>0</v>
      </c>
      <c r="T25" s="75">
        <f t="shared" si="2"/>
        <v>0</v>
      </c>
      <c r="U25" s="75">
        <f t="shared" si="2"/>
        <v>0</v>
      </c>
      <c r="V25" s="1460"/>
      <c r="W25" s="1460"/>
      <c r="X25" s="1462"/>
      <c r="Y25" s="92" t="s">
        <v>84</v>
      </c>
    </row>
    <row r="26" spans="1:25" ht="27">
      <c r="A26" s="73"/>
      <c r="B26" s="72">
        <v>52010010004</v>
      </c>
      <c r="C26" s="72" t="s">
        <v>103</v>
      </c>
      <c r="D26" s="92" t="s">
        <v>3899</v>
      </c>
      <c r="E26" s="92"/>
      <c r="F26" s="92"/>
      <c r="G26" s="92"/>
      <c r="H26" s="92">
        <f>H28</f>
        <v>72</v>
      </c>
      <c r="I26" s="92"/>
      <c r="J26" s="92"/>
      <c r="K26" s="92"/>
      <c r="L26" s="1445"/>
      <c r="M26" s="92"/>
      <c r="N26" s="1445"/>
      <c r="O26" s="1445"/>
      <c r="P26" s="1778"/>
      <c r="Q26" s="1778"/>
      <c r="R26" s="1778"/>
      <c r="S26" s="1778"/>
      <c r="T26" s="75"/>
      <c r="U26" s="75"/>
      <c r="V26" s="92"/>
      <c r="W26" s="92"/>
      <c r="X26" s="110"/>
      <c r="Y26" s="92"/>
    </row>
    <row r="27" spans="1:25" ht="27">
      <c r="A27" s="72">
        <v>4164</v>
      </c>
      <c r="B27" s="933"/>
      <c r="C27" s="72" t="s">
        <v>451</v>
      </c>
      <c r="D27" s="934" t="s">
        <v>3900</v>
      </c>
      <c r="E27" s="92" t="s">
        <v>3901</v>
      </c>
      <c r="F27" s="92"/>
      <c r="G27" s="92"/>
      <c r="H27" s="92">
        <f>SUM(H28)</f>
        <v>72</v>
      </c>
      <c r="I27" s="92"/>
      <c r="J27" s="92"/>
      <c r="K27" s="92">
        <f>+K29</f>
        <v>1</v>
      </c>
      <c r="L27" s="1445">
        <f>L28+L29+L30</f>
        <v>1</v>
      </c>
      <c r="M27" s="92"/>
      <c r="N27" s="1445">
        <f>N28+N29+N30</f>
        <v>0.5</v>
      </c>
      <c r="O27" s="1445">
        <f>IF(Q27&gt;0, N27,"na")</f>
        <v>0.5</v>
      </c>
      <c r="P27" s="1778">
        <v>945600000</v>
      </c>
      <c r="Q27" s="1778">
        <v>1970874196</v>
      </c>
      <c r="R27" s="1778">
        <v>877980000</v>
      </c>
      <c r="S27" s="1778">
        <v>307288000</v>
      </c>
      <c r="T27" s="75">
        <f t="shared" ref="T27:U28" si="3">IF(Q27=0,0,R27/Q27)</f>
        <v>0.44547744436550529</v>
      </c>
      <c r="U27" s="75">
        <f>IF(R27=0,0,S27/R27)</f>
        <v>0.34999430510945578</v>
      </c>
      <c r="V27" s="1460">
        <v>44940</v>
      </c>
      <c r="W27" s="1784">
        <v>45291</v>
      </c>
      <c r="X27" s="110"/>
      <c r="Y27" s="92"/>
    </row>
    <row r="28" spans="1:25" ht="94.5">
      <c r="A28" s="72"/>
      <c r="B28" s="1295"/>
      <c r="C28" s="72"/>
      <c r="D28" s="1270"/>
      <c r="E28" s="92" t="s">
        <v>3902</v>
      </c>
      <c r="F28" s="92"/>
      <c r="G28" s="92" t="s">
        <v>3899</v>
      </c>
      <c r="H28" s="92">
        <v>72</v>
      </c>
      <c r="I28" s="92" t="s">
        <v>3903</v>
      </c>
      <c r="J28" s="92" t="s">
        <v>3359</v>
      </c>
      <c r="K28" s="92">
        <v>72</v>
      </c>
      <c r="L28" s="1445">
        <v>0.6</v>
      </c>
      <c r="M28" s="1785">
        <v>43</v>
      </c>
      <c r="N28" s="1443">
        <v>0.35</v>
      </c>
      <c r="O28" s="1445"/>
      <c r="P28" s="1778">
        <v>737830080</v>
      </c>
      <c r="Q28" s="1778">
        <v>1258618659</v>
      </c>
      <c r="R28" s="1778">
        <v>710156500</v>
      </c>
      <c r="S28" s="1778">
        <v>292064500</v>
      </c>
      <c r="T28" s="75">
        <f t="shared" si="3"/>
        <v>0.56423484184179729</v>
      </c>
      <c r="U28" s="75">
        <f t="shared" si="3"/>
        <v>0.41126779801353647</v>
      </c>
      <c r="V28" s="1460"/>
      <c r="W28" s="1460"/>
      <c r="X28" s="1462" t="s">
        <v>5547</v>
      </c>
      <c r="Y28" s="92" t="s">
        <v>84</v>
      </c>
    </row>
    <row r="29" spans="1:25" ht="121.5">
      <c r="A29" s="72"/>
      <c r="B29" s="1295"/>
      <c r="C29" s="72"/>
      <c r="D29" s="1270"/>
      <c r="E29" s="92" t="s">
        <v>3904</v>
      </c>
      <c r="F29" s="92"/>
      <c r="G29" s="92"/>
      <c r="H29" s="92"/>
      <c r="I29" s="92" t="s">
        <v>3905</v>
      </c>
      <c r="J29" s="92" t="s">
        <v>2262</v>
      </c>
      <c r="K29" s="92">
        <v>1</v>
      </c>
      <c r="L29" s="1445">
        <v>0.2</v>
      </c>
      <c r="M29" s="1785">
        <v>1</v>
      </c>
      <c r="N29" s="1443">
        <v>0.15</v>
      </c>
      <c r="O29" s="1445">
        <v>0.1</v>
      </c>
      <c r="P29" s="1778">
        <v>67901760</v>
      </c>
      <c r="Q29" s="1778">
        <v>543671537</v>
      </c>
      <c r="R29" s="1778">
        <v>167823500</v>
      </c>
      <c r="S29" s="1778">
        <v>15223500</v>
      </c>
      <c r="T29" s="75">
        <f>IF(Q29=0,0,R29/Q29)</f>
        <v>0.30868546278154707</v>
      </c>
      <c r="U29" s="75">
        <f>IF(R29=0,0,S29/R29)</f>
        <v>9.0711372364418577E-2</v>
      </c>
      <c r="V29" s="75"/>
      <c r="W29" s="1460"/>
      <c r="X29" s="1462" t="s">
        <v>5548</v>
      </c>
      <c r="Y29" s="92" t="s">
        <v>84</v>
      </c>
    </row>
    <row r="30" spans="1:25" ht="40.5">
      <c r="A30" s="72"/>
      <c r="B30" s="1295"/>
      <c r="C30" s="72"/>
      <c r="D30" s="1270"/>
      <c r="E30" s="92" t="s">
        <v>3906</v>
      </c>
      <c r="F30" s="92"/>
      <c r="G30" s="92"/>
      <c r="H30" s="92"/>
      <c r="I30" s="92" t="s">
        <v>3907</v>
      </c>
      <c r="J30" s="92" t="s">
        <v>1958</v>
      </c>
      <c r="K30" s="92">
        <v>1</v>
      </c>
      <c r="L30" s="1445">
        <v>0.2</v>
      </c>
      <c r="M30" s="1785">
        <v>0</v>
      </c>
      <c r="N30" s="218">
        <v>0</v>
      </c>
      <c r="O30" s="1445"/>
      <c r="P30" s="1778">
        <v>139868160</v>
      </c>
      <c r="Q30" s="1778">
        <v>168584000</v>
      </c>
      <c r="R30" s="1778">
        <v>0</v>
      </c>
      <c r="S30" s="1778">
        <v>0</v>
      </c>
      <c r="T30" s="75">
        <f t="shared" ref="T30:U30" si="4">IF(Q30=0,0,R30/Q30)</f>
        <v>0</v>
      </c>
      <c r="U30" s="75">
        <f t="shared" si="4"/>
        <v>0</v>
      </c>
      <c r="V30" s="1460"/>
      <c r="W30" s="1460"/>
      <c r="X30" s="1462"/>
      <c r="Y30" s="92" t="s">
        <v>84</v>
      </c>
    </row>
    <row r="31" spans="1:25" ht="27">
      <c r="A31" s="73"/>
      <c r="B31" s="72">
        <v>52010010005</v>
      </c>
      <c r="C31" s="72" t="s">
        <v>103</v>
      </c>
      <c r="D31" s="92" t="s">
        <v>3908</v>
      </c>
      <c r="E31" s="92"/>
      <c r="F31" s="92">
        <v>300</v>
      </c>
      <c r="G31" s="92"/>
      <c r="H31" s="92">
        <f>H32</f>
        <v>300</v>
      </c>
      <c r="I31" s="92"/>
      <c r="J31" s="92"/>
      <c r="K31" s="92"/>
      <c r="L31" s="1445"/>
      <c r="M31" s="1785"/>
      <c r="N31" s="1445"/>
      <c r="O31" s="1445"/>
      <c r="P31" s="1778"/>
      <c r="Q31" s="1778"/>
      <c r="R31" s="1778"/>
      <c r="S31" s="1778"/>
      <c r="T31" s="75"/>
      <c r="U31" s="75"/>
      <c r="V31" s="1460"/>
      <c r="W31" s="1460"/>
      <c r="X31" s="110"/>
      <c r="Y31" s="92"/>
    </row>
    <row r="32" spans="1:25" ht="40.5">
      <c r="A32" s="933">
        <v>4164</v>
      </c>
      <c r="B32" s="933"/>
      <c r="C32" s="933" t="s">
        <v>451</v>
      </c>
      <c r="D32" s="935" t="s">
        <v>3909</v>
      </c>
      <c r="E32" s="92" t="s">
        <v>3910</v>
      </c>
      <c r="F32" s="92"/>
      <c r="G32" s="92"/>
      <c r="H32" s="92">
        <v>300</v>
      </c>
      <c r="I32" s="92"/>
      <c r="J32" s="92"/>
      <c r="K32" s="92">
        <f>SUM(K34)</f>
        <v>300</v>
      </c>
      <c r="L32" s="1445">
        <f>L33+L34+L35+L36+L37</f>
        <v>1</v>
      </c>
      <c r="M32" s="92"/>
      <c r="N32" s="1445">
        <f>N33+N34+N35+N36+N37</f>
        <v>0.38</v>
      </c>
      <c r="O32" s="1445">
        <f>IF(Q32&gt;0, N32,"na")</f>
        <v>0.38</v>
      </c>
      <c r="P32" s="1778">
        <v>229652160</v>
      </c>
      <c r="Q32" s="1778">
        <v>529652160</v>
      </c>
      <c r="R32" s="1778">
        <v>179594000</v>
      </c>
      <c r="S32" s="1778">
        <v>55796000</v>
      </c>
      <c r="T32" s="75">
        <f t="shared" ref="T32:U37" si="5">IF(Q32=0,0,R32/Q32)</f>
        <v>0.33907914205428707</v>
      </c>
      <c r="U32" s="75">
        <f>IF(R32=0,0,S32/R32)</f>
        <v>0.3106785304631558</v>
      </c>
      <c r="V32" s="1460">
        <v>44944</v>
      </c>
      <c r="W32" s="1784">
        <v>45291</v>
      </c>
      <c r="X32" s="110"/>
      <c r="Y32" s="92"/>
    </row>
    <row r="33" spans="1:25" ht="40.5">
      <c r="A33" s="1295"/>
      <c r="B33" s="1295"/>
      <c r="C33" s="1295"/>
      <c r="D33" s="1224"/>
      <c r="E33" s="92" t="s">
        <v>3911</v>
      </c>
      <c r="F33" s="92"/>
      <c r="G33" s="92"/>
      <c r="H33" s="92"/>
      <c r="I33" s="92" t="s">
        <v>5549</v>
      </c>
      <c r="J33" s="92" t="s">
        <v>3359</v>
      </c>
      <c r="K33" s="92">
        <v>8</v>
      </c>
      <c r="L33" s="1445">
        <v>0.15</v>
      </c>
      <c r="M33" s="92">
        <v>0</v>
      </c>
      <c r="N33" s="1445">
        <v>0</v>
      </c>
      <c r="O33" s="1445"/>
      <c r="P33" s="1778">
        <v>35175840</v>
      </c>
      <c r="Q33" s="1778">
        <v>83490000</v>
      </c>
      <c r="R33" s="1778">
        <v>0</v>
      </c>
      <c r="S33" s="1778">
        <v>0</v>
      </c>
      <c r="T33" s="75">
        <f t="shared" si="5"/>
        <v>0</v>
      </c>
      <c r="U33" s="75">
        <f t="shared" si="5"/>
        <v>0</v>
      </c>
      <c r="V33" s="1460"/>
      <c r="W33" s="1460"/>
      <c r="X33" s="1462"/>
      <c r="Y33" s="92" t="s">
        <v>84</v>
      </c>
    </row>
    <row r="34" spans="1:25" ht="121.5">
      <c r="A34" s="1295"/>
      <c r="B34" s="1295"/>
      <c r="C34" s="1295"/>
      <c r="D34" s="1224"/>
      <c r="E34" s="92" t="s">
        <v>3912</v>
      </c>
      <c r="F34" s="92"/>
      <c r="G34" s="92" t="s">
        <v>3913</v>
      </c>
      <c r="H34" s="92">
        <v>300</v>
      </c>
      <c r="I34" s="92" t="s">
        <v>3914</v>
      </c>
      <c r="J34" s="92" t="s">
        <v>106</v>
      </c>
      <c r="K34" s="92">
        <v>300</v>
      </c>
      <c r="L34" s="1445">
        <v>0.31</v>
      </c>
      <c r="M34" s="92">
        <v>0</v>
      </c>
      <c r="N34" s="1445">
        <v>0.09</v>
      </c>
      <c r="O34" s="1445"/>
      <c r="P34" s="1778">
        <v>105527520</v>
      </c>
      <c r="Q34" s="1778">
        <v>216720977</v>
      </c>
      <c r="R34" s="1778">
        <v>83835000</v>
      </c>
      <c r="S34" s="1778">
        <v>34958000</v>
      </c>
      <c r="T34" s="75">
        <f t="shared" si="5"/>
        <v>0.38683380427913078</v>
      </c>
      <c r="U34" s="75">
        <f t="shared" si="5"/>
        <v>0.41698574581022246</v>
      </c>
      <c r="V34" s="1460"/>
      <c r="W34" s="1460"/>
      <c r="X34" s="1462" t="s">
        <v>5550</v>
      </c>
      <c r="Y34" s="92" t="s">
        <v>84</v>
      </c>
    </row>
    <row r="35" spans="1:25" ht="135">
      <c r="A35" s="1295"/>
      <c r="B35" s="1295"/>
      <c r="C35" s="1295"/>
      <c r="D35" s="1224"/>
      <c r="E35" s="92" t="s">
        <v>3915</v>
      </c>
      <c r="F35" s="92"/>
      <c r="G35" s="92"/>
      <c r="H35" s="92"/>
      <c r="I35" s="92" t="s">
        <v>5551</v>
      </c>
      <c r="J35" s="92" t="s">
        <v>2229</v>
      </c>
      <c r="K35" s="92">
        <v>5</v>
      </c>
      <c r="L35" s="1445">
        <v>0.28000000000000003</v>
      </c>
      <c r="M35" s="92">
        <v>3</v>
      </c>
      <c r="N35" s="1445">
        <v>0.18</v>
      </c>
      <c r="O35" s="1445"/>
      <c r="P35" s="1778">
        <v>65020320</v>
      </c>
      <c r="Q35" s="1778">
        <v>119615840</v>
      </c>
      <c r="R35" s="1778">
        <v>39748000</v>
      </c>
      <c r="S35" s="1778">
        <v>4438000</v>
      </c>
      <c r="T35" s="75">
        <f t="shared" si="5"/>
        <v>0.33229712720321991</v>
      </c>
      <c r="U35" s="75">
        <f t="shared" si="5"/>
        <v>0.11165341652410184</v>
      </c>
      <c r="V35" s="1460"/>
      <c r="W35" s="1460"/>
      <c r="X35" s="1462" t="s">
        <v>5552</v>
      </c>
      <c r="Y35" s="92" t="s">
        <v>84</v>
      </c>
    </row>
    <row r="36" spans="1:25" ht="108">
      <c r="A36" s="1295"/>
      <c r="B36" s="1295"/>
      <c r="C36" s="1295"/>
      <c r="D36" s="1224"/>
      <c r="E36" s="92" t="s">
        <v>3916</v>
      </c>
      <c r="F36" s="92"/>
      <c r="G36" s="92"/>
      <c r="H36" s="92"/>
      <c r="I36" s="92" t="s">
        <v>5553</v>
      </c>
      <c r="J36" s="92" t="s">
        <v>3917</v>
      </c>
      <c r="K36" s="92">
        <v>200</v>
      </c>
      <c r="L36" s="1445">
        <v>0.22</v>
      </c>
      <c r="M36" s="92">
        <v>0</v>
      </c>
      <c r="N36" s="1445">
        <v>0.11</v>
      </c>
      <c r="O36" s="1445"/>
      <c r="P36" s="1778">
        <v>49740800</v>
      </c>
      <c r="Q36" s="1778">
        <v>112929615</v>
      </c>
      <c r="R36" s="1778">
        <v>56011000</v>
      </c>
      <c r="S36" s="1778">
        <v>16400000</v>
      </c>
      <c r="T36" s="75">
        <f t="shared" si="5"/>
        <v>0.49598150139801683</v>
      </c>
      <c r="U36" s="75">
        <f t="shared" si="5"/>
        <v>0.29279962864437342</v>
      </c>
      <c r="V36" s="1460"/>
      <c r="W36" s="1460"/>
      <c r="X36" s="1462" t="s">
        <v>5554</v>
      </c>
      <c r="Y36" s="92" t="s">
        <v>84</v>
      </c>
    </row>
    <row r="37" spans="1:25" ht="40.5">
      <c r="A37" s="1286"/>
      <c r="B37" s="1286"/>
      <c r="C37" s="1286"/>
      <c r="D37" s="1225"/>
      <c r="E37" s="92" t="s">
        <v>3918</v>
      </c>
      <c r="F37" s="92"/>
      <c r="G37" s="92"/>
      <c r="H37" s="92"/>
      <c r="I37" s="92" t="s">
        <v>5555</v>
      </c>
      <c r="J37" s="92" t="s">
        <v>2064</v>
      </c>
      <c r="K37" s="92">
        <v>7</v>
      </c>
      <c r="L37" s="1445">
        <v>0.04</v>
      </c>
      <c r="M37" s="92">
        <v>0</v>
      </c>
      <c r="N37" s="1445">
        <v>0</v>
      </c>
      <c r="O37" s="1445"/>
      <c r="P37" s="1778">
        <v>9363520</v>
      </c>
      <c r="Q37" s="1778">
        <v>80385728</v>
      </c>
      <c r="R37" s="1778">
        <v>0</v>
      </c>
      <c r="S37" s="1778">
        <v>0</v>
      </c>
      <c r="T37" s="75">
        <f t="shared" si="5"/>
        <v>0</v>
      </c>
      <c r="U37" s="75">
        <f t="shared" si="5"/>
        <v>0</v>
      </c>
      <c r="V37" s="1460"/>
      <c r="W37" s="1460"/>
      <c r="X37" s="1462"/>
      <c r="Y37" s="92" t="s">
        <v>84</v>
      </c>
    </row>
    <row r="38" spans="1:25" ht="27">
      <c r="A38" s="73"/>
      <c r="B38" s="72">
        <v>52010010006</v>
      </c>
      <c r="C38" s="72" t="s">
        <v>103</v>
      </c>
      <c r="D38" s="92" t="s">
        <v>3919</v>
      </c>
      <c r="E38" s="92"/>
      <c r="F38" s="92">
        <v>1</v>
      </c>
      <c r="G38" s="92"/>
      <c r="H38" s="92">
        <f>H39</f>
        <v>1</v>
      </c>
      <c r="I38" s="92"/>
      <c r="J38" s="92"/>
      <c r="K38" s="92"/>
      <c r="L38" s="1445"/>
      <c r="M38" s="92"/>
      <c r="N38" s="1445"/>
      <c r="O38" s="1445"/>
      <c r="P38" s="1778"/>
      <c r="Q38" s="1778"/>
      <c r="R38" s="1778"/>
      <c r="S38" s="1778"/>
      <c r="T38" s="75"/>
      <c r="U38" s="75"/>
      <c r="V38" s="1460"/>
      <c r="W38" s="1460"/>
      <c r="X38" s="110"/>
      <c r="Y38" s="92"/>
    </row>
    <row r="39" spans="1:25" ht="27">
      <c r="A39" s="72">
        <v>4164</v>
      </c>
      <c r="B39" s="933"/>
      <c r="C39" s="72" t="s">
        <v>451</v>
      </c>
      <c r="D39" s="934" t="s">
        <v>3920</v>
      </c>
      <c r="E39" s="92" t="s">
        <v>3921</v>
      </c>
      <c r="F39" s="92"/>
      <c r="G39" s="92"/>
      <c r="H39" s="92">
        <v>1</v>
      </c>
      <c r="I39" s="92"/>
      <c r="J39" s="92"/>
      <c r="K39" s="92">
        <f>+K40</f>
        <v>1</v>
      </c>
      <c r="L39" s="1445">
        <f>L40+L41+L42</f>
        <v>1</v>
      </c>
      <c r="M39" s="92"/>
      <c r="N39" s="1445">
        <f>N40+N41+N42</f>
        <v>0.27</v>
      </c>
      <c r="O39" s="1445">
        <f>IF(Q39&gt;0, N39,"na")</f>
        <v>0.27</v>
      </c>
      <c r="P39" s="1778">
        <v>341397020</v>
      </c>
      <c r="Q39" s="1778">
        <v>602472420</v>
      </c>
      <c r="R39" s="1778">
        <v>266529500</v>
      </c>
      <c r="S39" s="1778">
        <v>119069000</v>
      </c>
      <c r="T39" s="75">
        <f>IF(Q39=0,0,R39/Q39)</f>
        <v>0.44239286505430409</v>
      </c>
      <c r="U39" s="75">
        <f t="shared" ref="U39" si="6">IF(R39=0,0,S39/R39)</f>
        <v>0.44673854113709738</v>
      </c>
      <c r="V39" s="1460">
        <v>44943</v>
      </c>
      <c r="W39" s="1784">
        <v>45291</v>
      </c>
      <c r="X39" s="110"/>
      <c r="Y39" s="92"/>
    </row>
    <row r="40" spans="1:25" ht="148.5">
      <c r="A40" s="72"/>
      <c r="B40" s="1295"/>
      <c r="C40" s="72"/>
      <c r="D40" s="1270"/>
      <c r="E40" s="92" t="s">
        <v>3922</v>
      </c>
      <c r="F40" s="92"/>
      <c r="G40" s="92" t="s">
        <v>3919</v>
      </c>
      <c r="H40" s="92">
        <v>1</v>
      </c>
      <c r="I40" s="92" t="s">
        <v>3923</v>
      </c>
      <c r="J40" s="92" t="s">
        <v>5556</v>
      </c>
      <c r="K40" s="92">
        <v>1</v>
      </c>
      <c r="L40" s="1445">
        <v>0.5</v>
      </c>
      <c r="M40" s="92">
        <v>0</v>
      </c>
      <c r="N40" s="1445">
        <v>0.05</v>
      </c>
      <c r="O40" s="1445"/>
      <c r="P40" s="1778">
        <v>280323020</v>
      </c>
      <c r="Q40" s="1778">
        <v>378414500</v>
      </c>
      <c r="R40" s="1778">
        <v>148626500</v>
      </c>
      <c r="S40" s="1778">
        <v>75247000</v>
      </c>
      <c r="T40" s="75">
        <f t="shared" ref="T40:U42" si="7">IF(Q40=0,0,R40/Q40)</f>
        <v>0.39276111248379753</v>
      </c>
      <c r="U40" s="75">
        <f t="shared" si="7"/>
        <v>0.50628252700561471</v>
      </c>
      <c r="V40" s="1460"/>
      <c r="W40" s="1460"/>
      <c r="X40" s="1787" t="s">
        <v>5557</v>
      </c>
      <c r="Y40" s="92" t="s">
        <v>84</v>
      </c>
    </row>
    <row r="41" spans="1:25" ht="94.5">
      <c r="A41" s="72"/>
      <c r="B41" s="1295"/>
      <c r="C41" s="72"/>
      <c r="D41" s="1270"/>
      <c r="E41" s="92" t="s">
        <v>3924</v>
      </c>
      <c r="F41" s="92"/>
      <c r="G41" s="92"/>
      <c r="H41" s="92"/>
      <c r="I41" s="92" t="s">
        <v>5558</v>
      </c>
      <c r="J41" s="92" t="s">
        <v>3925</v>
      </c>
      <c r="K41" s="92">
        <v>1</v>
      </c>
      <c r="L41" s="1445">
        <v>0.3</v>
      </c>
      <c r="M41" s="92">
        <v>0</v>
      </c>
      <c r="N41" s="1445">
        <v>0.15</v>
      </c>
      <c r="O41" s="1445"/>
      <c r="P41" s="1778">
        <v>50098080</v>
      </c>
      <c r="Q41" s="1778">
        <v>139290690</v>
      </c>
      <c r="R41" s="1778">
        <v>86168000</v>
      </c>
      <c r="S41" s="1778">
        <v>40937000</v>
      </c>
      <c r="T41" s="75">
        <f t="shared" si="7"/>
        <v>0.61861995227391009</v>
      </c>
      <c r="U41" s="75">
        <f t="shared" si="7"/>
        <v>0.47508355770123478</v>
      </c>
      <c r="V41" s="1460"/>
      <c r="W41" s="1460"/>
      <c r="X41" s="1787" t="s">
        <v>5559</v>
      </c>
      <c r="Y41" s="92" t="s">
        <v>84</v>
      </c>
    </row>
    <row r="42" spans="1:25" ht="94.5">
      <c r="A42" s="72"/>
      <c r="B42" s="1286"/>
      <c r="C42" s="72"/>
      <c r="D42" s="1280"/>
      <c r="E42" s="92" t="s">
        <v>3926</v>
      </c>
      <c r="F42" s="92"/>
      <c r="G42" s="92"/>
      <c r="H42" s="92"/>
      <c r="I42" s="92" t="s">
        <v>3927</v>
      </c>
      <c r="J42" s="92" t="s">
        <v>3383</v>
      </c>
      <c r="K42" s="92">
        <v>2</v>
      </c>
      <c r="L42" s="1445">
        <v>0.2</v>
      </c>
      <c r="M42" s="92">
        <v>0</v>
      </c>
      <c r="N42" s="1445">
        <v>7.0000000000000007E-2</v>
      </c>
      <c r="O42" s="1445"/>
      <c r="P42" s="1778">
        <v>10975920</v>
      </c>
      <c r="Q42" s="1778">
        <v>84767230</v>
      </c>
      <c r="R42" s="1778">
        <v>31735000</v>
      </c>
      <c r="S42" s="1778">
        <v>2885000</v>
      </c>
      <c r="T42" s="75">
        <f t="shared" si="7"/>
        <v>0.37437816476956959</v>
      </c>
      <c r="U42" s="75">
        <f t="shared" si="7"/>
        <v>9.0909090909090912E-2</v>
      </c>
      <c r="V42" s="1460"/>
      <c r="W42" s="1460"/>
      <c r="X42" s="1787" t="s">
        <v>5560</v>
      </c>
      <c r="Y42" s="92" t="s">
        <v>84</v>
      </c>
    </row>
    <row r="43" spans="1:25">
      <c r="A43" s="73"/>
      <c r="B43" s="72">
        <v>52010010007</v>
      </c>
      <c r="C43" s="72" t="s">
        <v>103</v>
      </c>
      <c r="D43" s="92" t="s">
        <v>3928</v>
      </c>
      <c r="E43" s="92"/>
      <c r="F43" s="92">
        <v>24</v>
      </c>
      <c r="G43" s="92"/>
      <c r="H43" s="92">
        <f>H44</f>
        <v>24</v>
      </c>
      <c r="I43" s="92"/>
      <c r="J43" s="92"/>
      <c r="K43" s="92"/>
      <c r="L43" s="1445"/>
      <c r="M43" s="92"/>
      <c r="N43" s="1445"/>
      <c r="O43" s="1445"/>
      <c r="P43" s="1778"/>
      <c r="Q43" s="1778"/>
      <c r="R43" s="1778"/>
      <c r="S43" s="1778"/>
      <c r="T43" s="75"/>
      <c r="U43" s="75"/>
      <c r="V43" s="1460"/>
      <c r="W43" s="1460"/>
      <c r="X43" s="110"/>
      <c r="Y43" s="92"/>
    </row>
    <row r="44" spans="1:25" ht="27">
      <c r="A44" s="72">
        <v>4164</v>
      </c>
      <c r="B44" s="933"/>
      <c r="C44" s="72" t="s">
        <v>451</v>
      </c>
      <c r="D44" s="934" t="s">
        <v>3929</v>
      </c>
      <c r="E44" s="92" t="s">
        <v>3930</v>
      </c>
      <c r="F44" s="92"/>
      <c r="G44" s="92"/>
      <c r="H44" s="92">
        <v>24</v>
      </c>
      <c r="I44" s="92"/>
      <c r="J44" s="92"/>
      <c r="K44" s="92">
        <f>+K45</f>
        <v>24</v>
      </c>
      <c r="L44" s="1445">
        <f>L45+L46+L47</f>
        <v>1</v>
      </c>
      <c r="M44" s="92"/>
      <c r="N44" s="1445">
        <f>N45+N46+N47</f>
        <v>0.63333333333333341</v>
      </c>
      <c r="O44" s="1445">
        <f>IF(Q44&gt;0, N44,"na")</f>
        <v>0.63333333333333341</v>
      </c>
      <c r="P44" s="1778">
        <v>428673786</v>
      </c>
      <c r="Q44" s="1778">
        <v>653402906</v>
      </c>
      <c r="R44" s="1778">
        <v>356215000</v>
      </c>
      <c r="S44" s="1778">
        <v>173933000</v>
      </c>
      <c r="T44" s="75">
        <f t="shared" ref="T44:U46" si="8">IF(Q44=0,0,R44/Q44)</f>
        <v>0.54516898643851452</v>
      </c>
      <c r="U44" s="75">
        <f t="shared" si="8"/>
        <v>0.48828095391827969</v>
      </c>
      <c r="V44" s="1460"/>
      <c r="W44" s="1460"/>
      <c r="X44" s="110"/>
      <c r="Y44" s="92"/>
    </row>
    <row r="45" spans="1:25" ht="108">
      <c r="A45" s="72"/>
      <c r="B45" s="1295"/>
      <c r="C45" s="72"/>
      <c r="D45" s="1270"/>
      <c r="E45" s="92" t="s">
        <v>3931</v>
      </c>
      <c r="F45" s="92"/>
      <c r="G45" s="92" t="s">
        <v>3928</v>
      </c>
      <c r="H45" s="92">
        <v>24</v>
      </c>
      <c r="I45" s="92" t="s">
        <v>5561</v>
      </c>
      <c r="J45" s="92" t="s">
        <v>3383</v>
      </c>
      <c r="K45" s="92">
        <v>24</v>
      </c>
      <c r="L45" s="1445">
        <v>0.8</v>
      </c>
      <c r="M45" s="92">
        <v>14</v>
      </c>
      <c r="N45" s="1445">
        <v>0.58333333333333337</v>
      </c>
      <c r="O45" s="1445"/>
      <c r="P45" s="1778">
        <v>264451504</v>
      </c>
      <c r="Q45" s="1778">
        <v>366079464</v>
      </c>
      <c r="R45" s="1778">
        <v>293094000</v>
      </c>
      <c r="S45" s="1778">
        <v>160586000</v>
      </c>
      <c r="T45" s="75">
        <f t="shared" si="8"/>
        <v>0.80062945022231569</v>
      </c>
      <c r="U45" s="75">
        <f t="shared" si="8"/>
        <v>0.54789930875418813</v>
      </c>
      <c r="V45" s="1460">
        <v>44931</v>
      </c>
      <c r="W45" s="1460">
        <v>45291</v>
      </c>
      <c r="X45" s="1462" t="s">
        <v>5562</v>
      </c>
      <c r="Y45" s="92" t="s">
        <v>84</v>
      </c>
    </row>
    <row r="46" spans="1:25" ht="121.5">
      <c r="A46" s="72"/>
      <c r="B46" s="1286"/>
      <c r="C46" s="72"/>
      <c r="D46" s="1280"/>
      <c r="E46" s="92" t="s">
        <v>3932</v>
      </c>
      <c r="F46" s="92"/>
      <c r="G46" s="92"/>
      <c r="H46" s="92"/>
      <c r="I46" s="92" t="s">
        <v>5563</v>
      </c>
      <c r="J46" s="92" t="s">
        <v>106</v>
      </c>
      <c r="K46" s="92">
        <v>200</v>
      </c>
      <c r="L46" s="1445">
        <v>0.2</v>
      </c>
      <c r="M46" s="92">
        <v>0</v>
      </c>
      <c r="N46" s="1445">
        <v>0.05</v>
      </c>
      <c r="O46" s="1445"/>
      <c r="P46" s="1778">
        <v>164222282</v>
      </c>
      <c r="Q46" s="1778">
        <v>287323442</v>
      </c>
      <c r="R46" s="1778">
        <v>63121000</v>
      </c>
      <c r="S46" s="1778">
        <v>13347000</v>
      </c>
      <c r="T46" s="75">
        <f t="shared" si="8"/>
        <v>0.21968621690116047</v>
      </c>
      <c r="U46" s="75">
        <f t="shared" si="8"/>
        <v>0.21145102263905832</v>
      </c>
      <c r="V46" s="1460">
        <v>44931</v>
      </c>
      <c r="W46" s="1460">
        <v>45291</v>
      </c>
      <c r="X46" s="1462" t="s">
        <v>5564</v>
      </c>
      <c r="Y46" s="92" t="s">
        <v>84</v>
      </c>
    </row>
    <row r="47" spans="1:25" ht="27">
      <c r="A47" s="73"/>
      <c r="B47" s="72">
        <v>52010010008</v>
      </c>
      <c r="C47" s="72" t="s">
        <v>103</v>
      </c>
      <c r="D47" s="1259" t="s">
        <v>3933</v>
      </c>
      <c r="E47" s="92"/>
      <c r="F47" s="92">
        <v>2</v>
      </c>
      <c r="G47" s="92"/>
      <c r="H47" s="92">
        <f>H48</f>
        <v>2</v>
      </c>
      <c r="I47" s="92"/>
      <c r="J47" s="92"/>
      <c r="K47" s="92"/>
      <c r="L47" s="1445"/>
      <c r="M47" s="92"/>
      <c r="N47" s="1445"/>
      <c r="O47" s="1445"/>
      <c r="P47" s="1778"/>
      <c r="Q47" s="1778"/>
      <c r="R47" s="1778"/>
      <c r="S47" s="1778"/>
      <c r="T47" s="75"/>
      <c r="U47" s="75"/>
      <c r="V47" s="1460"/>
      <c r="W47" s="1460"/>
      <c r="X47" s="110"/>
      <c r="Y47" s="92"/>
    </row>
    <row r="48" spans="1:25" ht="27">
      <c r="A48" s="72">
        <v>4164</v>
      </c>
      <c r="B48" s="72"/>
      <c r="C48" s="72" t="s">
        <v>451</v>
      </c>
      <c r="D48" s="934" t="s">
        <v>3934</v>
      </c>
      <c r="E48" s="92" t="s">
        <v>3935</v>
      </c>
      <c r="F48" s="92"/>
      <c r="G48" s="92"/>
      <c r="H48" s="92">
        <v>2</v>
      </c>
      <c r="I48" s="92"/>
      <c r="J48" s="92"/>
      <c r="K48" s="92">
        <f>SUM(K49)</f>
        <v>2</v>
      </c>
      <c r="L48" s="1445">
        <f>L49+L50</f>
        <v>1</v>
      </c>
      <c r="M48" s="92"/>
      <c r="N48" s="1445">
        <f>N49+N50</f>
        <v>0.57999999999999996</v>
      </c>
      <c r="O48" s="1445">
        <f>IF(Q48&gt;0, N48,"na")</f>
        <v>0.57999999999999996</v>
      </c>
      <c r="P48" s="1778">
        <v>149474863</v>
      </c>
      <c r="Q48" s="1778">
        <v>257454743</v>
      </c>
      <c r="R48" s="1778">
        <v>225667000</v>
      </c>
      <c r="S48" s="1778">
        <v>108721000</v>
      </c>
      <c r="T48" s="75">
        <f t="shared" ref="T48:U50" si="9">IF(Q48=0,0,R48/Q48)</f>
        <v>0.87653075398964397</v>
      </c>
      <c r="U48" s="75">
        <f t="shared" si="9"/>
        <v>0.48177624552991799</v>
      </c>
      <c r="V48" s="1460">
        <v>44942</v>
      </c>
      <c r="W48" s="1784">
        <v>45291</v>
      </c>
      <c r="X48" s="110"/>
      <c r="Y48" s="92"/>
    </row>
    <row r="49" spans="1:25" ht="121.5">
      <c r="A49" s="72"/>
      <c r="B49" s="72"/>
      <c r="C49" s="72"/>
      <c r="D49" s="1270"/>
      <c r="E49" s="92" t="s">
        <v>3936</v>
      </c>
      <c r="F49" s="92"/>
      <c r="G49" s="92" t="s">
        <v>3937</v>
      </c>
      <c r="H49" s="92">
        <v>2</v>
      </c>
      <c r="I49" s="92" t="s">
        <v>3938</v>
      </c>
      <c r="J49" s="92" t="s">
        <v>3451</v>
      </c>
      <c r="K49" s="92">
        <v>2</v>
      </c>
      <c r="L49" s="1445">
        <v>0.85</v>
      </c>
      <c r="M49" s="92">
        <v>1</v>
      </c>
      <c r="N49" s="1445">
        <v>0.5</v>
      </c>
      <c r="O49" s="1445"/>
      <c r="P49" s="1778">
        <v>127523023</v>
      </c>
      <c r="Q49" s="1778">
        <v>194673000</v>
      </c>
      <c r="R49" s="1778">
        <v>173357000</v>
      </c>
      <c r="S49" s="1778">
        <v>77335000</v>
      </c>
      <c r="T49" s="75">
        <f t="shared" si="9"/>
        <v>0.89050356238410056</v>
      </c>
      <c r="U49" s="75">
        <f t="shared" si="9"/>
        <v>0.4461025513824074</v>
      </c>
      <c r="V49" s="1460"/>
      <c r="W49" s="1460"/>
      <c r="X49" s="1462" t="s">
        <v>5565</v>
      </c>
      <c r="Y49" s="92" t="s">
        <v>84</v>
      </c>
    </row>
    <row r="50" spans="1:25" ht="54">
      <c r="A50" s="72"/>
      <c r="B50" s="72"/>
      <c r="C50" s="72"/>
      <c r="D50" s="1280"/>
      <c r="E50" s="92" t="s">
        <v>3939</v>
      </c>
      <c r="F50" s="92"/>
      <c r="G50" s="92"/>
      <c r="H50" s="92"/>
      <c r="I50" s="92" t="s">
        <v>5566</v>
      </c>
      <c r="J50" s="92" t="s">
        <v>3940</v>
      </c>
      <c r="K50" s="92">
        <v>7</v>
      </c>
      <c r="L50" s="1445">
        <v>0.15</v>
      </c>
      <c r="M50" s="92">
        <v>4</v>
      </c>
      <c r="N50" s="1445">
        <v>0.08</v>
      </c>
      <c r="O50" s="1445"/>
      <c r="P50" s="1778">
        <v>21951840</v>
      </c>
      <c r="Q50" s="1778">
        <v>62781743</v>
      </c>
      <c r="R50" s="1778">
        <v>52310000</v>
      </c>
      <c r="S50" s="1778">
        <v>31386000</v>
      </c>
      <c r="T50" s="75">
        <f t="shared" si="9"/>
        <v>0.83320400964337671</v>
      </c>
      <c r="U50" s="75">
        <f t="shared" si="9"/>
        <v>0.6</v>
      </c>
      <c r="V50" s="1460"/>
      <c r="W50" s="1460"/>
      <c r="X50" s="1462" t="s">
        <v>5567</v>
      </c>
      <c r="Y50" s="92" t="s">
        <v>84</v>
      </c>
    </row>
    <row r="51" spans="1:25" ht="27">
      <c r="A51" s="72"/>
      <c r="B51" s="72">
        <v>52010010009</v>
      </c>
      <c r="C51" s="72" t="s">
        <v>103</v>
      </c>
      <c r="D51" s="92" t="s">
        <v>3941</v>
      </c>
      <c r="E51" s="92"/>
      <c r="F51" s="92">
        <v>1</v>
      </c>
      <c r="G51" s="92"/>
      <c r="H51" s="92">
        <f>H52</f>
        <v>1</v>
      </c>
      <c r="I51" s="92"/>
      <c r="J51" s="92"/>
      <c r="K51" s="92"/>
      <c r="L51" s="1445"/>
      <c r="M51" s="92"/>
      <c r="N51" s="1445"/>
      <c r="O51" s="1445"/>
      <c r="P51" s="1778"/>
      <c r="Q51" s="1778"/>
      <c r="R51" s="1778"/>
      <c r="S51" s="1778"/>
      <c r="T51" s="75"/>
      <c r="U51" s="75"/>
      <c r="V51" s="1460"/>
      <c r="W51" s="1460"/>
      <c r="X51" s="110"/>
      <c r="Y51" s="92"/>
    </row>
    <row r="52" spans="1:25" ht="27">
      <c r="A52" s="128">
        <v>4164</v>
      </c>
      <c r="B52" s="933"/>
      <c r="C52" s="128" t="s">
        <v>451</v>
      </c>
      <c r="D52" s="934" t="s">
        <v>3942</v>
      </c>
      <c r="E52" s="92" t="s">
        <v>3943</v>
      </c>
      <c r="F52" s="92"/>
      <c r="G52" s="92"/>
      <c r="H52" s="92">
        <v>1</v>
      </c>
      <c r="I52" s="92"/>
      <c r="J52" s="92"/>
      <c r="K52" s="92">
        <f>+K54</f>
        <v>1</v>
      </c>
      <c r="L52" s="1445">
        <f>L53+L54+L55+L56</f>
        <v>1</v>
      </c>
      <c r="M52" s="92"/>
      <c r="N52" s="1445">
        <f>N53+N54+N55+N56</f>
        <v>0.35</v>
      </c>
      <c r="O52" s="1445">
        <f>IF(Q52&gt;0, N52,"na")</f>
        <v>0.35</v>
      </c>
      <c r="P52" s="1778">
        <v>222061997</v>
      </c>
      <c r="Q52" s="1778">
        <v>296683317</v>
      </c>
      <c r="R52" s="1778">
        <v>186732000</v>
      </c>
      <c r="S52" s="1778">
        <v>96950000</v>
      </c>
      <c r="T52" s="75">
        <f t="shared" ref="T52:U56" si="10">IF(Q52=0,0,R52/Q52)</f>
        <v>0.62939838305771667</v>
      </c>
      <c r="U52" s="75">
        <f t="shared" si="10"/>
        <v>0.51919328235117712</v>
      </c>
      <c r="V52" s="1460">
        <v>44944</v>
      </c>
      <c r="W52" s="1784">
        <v>45291</v>
      </c>
      <c r="X52" s="110"/>
      <c r="Y52" s="92"/>
    </row>
    <row r="53" spans="1:25" ht="135">
      <c r="A53" s="128"/>
      <c r="B53" s="1295"/>
      <c r="C53" s="128"/>
      <c r="D53" s="1270"/>
      <c r="E53" s="92" t="s">
        <v>3944</v>
      </c>
      <c r="F53" s="92"/>
      <c r="G53" s="92"/>
      <c r="H53" s="92"/>
      <c r="I53" s="92" t="s">
        <v>3945</v>
      </c>
      <c r="J53" s="92" t="s">
        <v>2262</v>
      </c>
      <c r="K53" s="92">
        <v>8</v>
      </c>
      <c r="L53" s="1445">
        <v>0.45</v>
      </c>
      <c r="M53" s="92">
        <v>5</v>
      </c>
      <c r="N53" s="1445">
        <v>0.25</v>
      </c>
      <c r="O53" s="1445"/>
      <c r="P53" s="1778">
        <v>98931200</v>
      </c>
      <c r="Q53" s="1778">
        <v>132828000</v>
      </c>
      <c r="R53" s="1778">
        <v>96699000</v>
      </c>
      <c r="S53" s="1778">
        <v>45593000</v>
      </c>
      <c r="T53" s="75">
        <f t="shared" si="10"/>
        <v>0.72800162616315833</v>
      </c>
      <c r="U53" s="75">
        <f t="shared" si="10"/>
        <v>0.47149401751827835</v>
      </c>
      <c r="V53" s="1460"/>
      <c r="W53" s="1460"/>
      <c r="X53" s="1462" t="s">
        <v>5568</v>
      </c>
      <c r="Y53" s="92" t="s">
        <v>84</v>
      </c>
    </row>
    <row r="54" spans="1:25" ht="94.5">
      <c r="A54" s="128"/>
      <c r="B54" s="1295"/>
      <c r="C54" s="128"/>
      <c r="D54" s="1270"/>
      <c r="E54" s="92" t="s">
        <v>3946</v>
      </c>
      <c r="F54" s="92"/>
      <c r="G54" s="92" t="s">
        <v>3941</v>
      </c>
      <c r="H54" s="92">
        <v>1</v>
      </c>
      <c r="I54" s="92" t="s">
        <v>5569</v>
      </c>
      <c r="J54" s="92" t="s">
        <v>110</v>
      </c>
      <c r="K54" s="92">
        <v>1</v>
      </c>
      <c r="L54" s="1445">
        <v>0.17</v>
      </c>
      <c r="M54" s="92">
        <v>0</v>
      </c>
      <c r="N54" s="1445">
        <v>0.05</v>
      </c>
      <c r="O54" s="1445"/>
      <c r="P54" s="1778">
        <v>38802000</v>
      </c>
      <c r="Q54" s="1778">
        <v>62772000</v>
      </c>
      <c r="R54" s="1778">
        <v>52310000</v>
      </c>
      <c r="S54" s="1778">
        <v>31386000</v>
      </c>
      <c r="T54" s="75">
        <f t="shared" si="10"/>
        <v>0.83333333333333337</v>
      </c>
      <c r="U54" s="75">
        <f t="shared" si="10"/>
        <v>0.6</v>
      </c>
      <c r="V54" s="1460"/>
      <c r="W54" s="1460"/>
      <c r="X54" s="1462" t="s">
        <v>5570</v>
      </c>
      <c r="Y54" s="92" t="s">
        <v>84</v>
      </c>
    </row>
    <row r="55" spans="1:25" ht="94.5">
      <c r="A55" s="128"/>
      <c r="B55" s="1295"/>
      <c r="C55" s="128"/>
      <c r="D55" s="1270"/>
      <c r="E55" s="92" t="s">
        <v>3947</v>
      </c>
      <c r="F55" s="92"/>
      <c r="G55" s="92"/>
      <c r="H55" s="92"/>
      <c r="I55" s="92" t="s">
        <v>3948</v>
      </c>
      <c r="J55" s="92" t="s">
        <v>2229</v>
      </c>
      <c r="K55" s="92">
        <v>3</v>
      </c>
      <c r="L55" s="1445">
        <v>0.16</v>
      </c>
      <c r="M55" s="92">
        <v>1</v>
      </c>
      <c r="N55" s="1445">
        <v>0.05</v>
      </c>
      <c r="O55" s="1445"/>
      <c r="P55" s="1778">
        <v>35044480</v>
      </c>
      <c r="Q55" s="1778">
        <v>51799000</v>
      </c>
      <c r="R55" s="1778">
        <v>37723000</v>
      </c>
      <c r="S55" s="1778">
        <v>19971000</v>
      </c>
      <c r="T55" s="75">
        <f t="shared" si="10"/>
        <v>0.72825730226452245</v>
      </c>
      <c r="U55" s="75">
        <f t="shared" si="10"/>
        <v>0.52941176470588236</v>
      </c>
      <c r="V55" s="1460"/>
      <c r="W55" s="1460"/>
      <c r="X55" s="1462" t="s">
        <v>5571</v>
      </c>
      <c r="Y55" s="92" t="s">
        <v>84</v>
      </c>
    </row>
    <row r="56" spans="1:25" ht="94.5">
      <c r="A56" s="128"/>
      <c r="B56" s="1286"/>
      <c r="C56" s="128"/>
      <c r="D56" s="1280"/>
      <c r="E56" s="92" t="s">
        <v>3949</v>
      </c>
      <c r="F56" s="92"/>
      <c r="G56" s="92"/>
      <c r="H56" s="92"/>
      <c r="I56" s="92" t="s">
        <v>3950</v>
      </c>
      <c r="J56" s="92" t="s">
        <v>3359</v>
      </c>
      <c r="K56" s="92">
        <v>7</v>
      </c>
      <c r="L56" s="1445">
        <v>0.22</v>
      </c>
      <c r="M56" s="92">
        <v>0</v>
      </c>
      <c r="N56" s="1445">
        <v>0</v>
      </c>
      <c r="O56" s="1445"/>
      <c r="P56" s="1778">
        <v>49284317</v>
      </c>
      <c r="Q56" s="1778">
        <v>49284317</v>
      </c>
      <c r="R56" s="1778">
        <v>0</v>
      </c>
      <c r="S56" s="1778">
        <v>0</v>
      </c>
      <c r="T56" s="75">
        <v>0</v>
      </c>
      <c r="U56" s="75">
        <f t="shared" si="10"/>
        <v>0</v>
      </c>
      <c r="V56" s="1460"/>
      <c r="W56" s="1460"/>
      <c r="X56" s="1462" t="s">
        <v>5572</v>
      </c>
      <c r="Y56" s="92" t="s">
        <v>84</v>
      </c>
    </row>
    <row r="57" spans="1:25" ht="27">
      <c r="A57" s="72"/>
      <c r="B57" s="72">
        <v>52010010010</v>
      </c>
      <c r="C57" s="72" t="s">
        <v>103</v>
      </c>
      <c r="D57" s="92" t="s">
        <v>3951</v>
      </c>
      <c r="E57" s="92"/>
      <c r="F57" s="92">
        <v>5</v>
      </c>
      <c r="G57" s="92"/>
      <c r="H57" s="92">
        <f>H58</f>
        <v>5</v>
      </c>
      <c r="I57" s="92"/>
      <c r="J57" s="92"/>
      <c r="K57" s="92"/>
      <c r="L57" s="1445"/>
      <c r="M57" s="92"/>
      <c r="N57" s="1445"/>
      <c r="O57" s="1445"/>
      <c r="P57" s="1778"/>
      <c r="Q57" s="1778"/>
      <c r="R57" s="1778"/>
      <c r="S57" s="1778"/>
      <c r="T57" s="75"/>
      <c r="U57" s="75"/>
      <c r="V57" s="1460"/>
      <c r="W57" s="1460"/>
      <c r="X57" s="110"/>
      <c r="Y57" s="92"/>
    </row>
    <row r="58" spans="1:25" ht="27">
      <c r="A58" s="128">
        <v>4164</v>
      </c>
      <c r="B58" s="933"/>
      <c r="C58" s="128" t="s">
        <v>451</v>
      </c>
      <c r="D58" s="934" t="s">
        <v>3952</v>
      </c>
      <c r="E58" s="92" t="s">
        <v>3953</v>
      </c>
      <c r="F58" s="92"/>
      <c r="G58" s="92"/>
      <c r="H58" s="92">
        <v>5</v>
      </c>
      <c r="I58" s="92"/>
      <c r="J58" s="92"/>
      <c r="K58" s="92">
        <f>+K60</f>
        <v>5</v>
      </c>
      <c r="L58" s="1445">
        <f>L59+L60+L61</f>
        <v>0.99999999999999989</v>
      </c>
      <c r="M58" s="92"/>
      <c r="N58" s="1445">
        <f>N59+N60+N61</f>
        <v>0.51</v>
      </c>
      <c r="O58" s="1445">
        <f>IF(Q58&gt;0, N58,"na")</f>
        <v>0.51</v>
      </c>
      <c r="P58" s="1778">
        <v>469359240</v>
      </c>
      <c r="Q58" s="1778">
        <v>709347840</v>
      </c>
      <c r="R58" s="1778">
        <v>360942000</v>
      </c>
      <c r="S58" s="1778">
        <v>183499000</v>
      </c>
      <c r="T58" s="75">
        <f t="shared" ref="T58:U61" si="11">IF(Q58=0,0,R58/Q58)</f>
        <v>0.50883639823305871</v>
      </c>
      <c r="U58" s="75">
        <f t="shared" si="11"/>
        <v>0.50838915947714591</v>
      </c>
      <c r="V58" s="1460">
        <v>44943</v>
      </c>
      <c r="W58" s="1784">
        <v>45291</v>
      </c>
      <c r="X58" s="110"/>
      <c r="Y58" s="92"/>
    </row>
    <row r="59" spans="1:25" ht="94.5">
      <c r="A59" s="128"/>
      <c r="B59" s="1295"/>
      <c r="C59" s="128"/>
      <c r="D59" s="1270"/>
      <c r="E59" s="92" t="s">
        <v>3954</v>
      </c>
      <c r="F59" s="92"/>
      <c r="G59" s="92"/>
      <c r="H59" s="92"/>
      <c r="I59" s="92" t="s">
        <v>5573</v>
      </c>
      <c r="J59" s="92" t="s">
        <v>1593</v>
      </c>
      <c r="K59" s="92">
        <v>100</v>
      </c>
      <c r="L59" s="1445">
        <v>0.35</v>
      </c>
      <c r="M59" s="92">
        <v>58</v>
      </c>
      <c r="N59" s="1445">
        <v>0.18</v>
      </c>
      <c r="O59" s="1445"/>
      <c r="P59" s="1778">
        <v>261751680</v>
      </c>
      <c r="Q59" s="1778">
        <v>436892000</v>
      </c>
      <c r="R59" s="1778">
        <v>282477000</v>
      </c>
      <c r="S59" s="1778">
        <v>152113000</v>
      </c>
      <c r="T59" s="75">
        <f t="shared" si="11"/>
        <v>0.64656024829935088</v>
      </c>
      <c r="U59" s="75">
        <f t="shared" si="11"/>
        <v>0.53849693957384137</v>
      </c>
      <c r="V59" s="1460"/>
      <c r="W59" s="1460"/>
      <c r="X59" s="1462" t="s">
        <v>5574</v>
      </c>
      <c r="Y59" s="92" t="s">
        <v>84</v>
      </c>
    </row>
    <row r="60" spans="1:25" ht="121.5">
      <c r="A60" s="128"/>
      <c r="B60" s="1295"/>
      <c r="C60" s="128"/>
      <c r="D60" s="1270"/>
      <c r="E60" s="92" t="s">
        <v>3955</v>
      </c>
      <c r="F60" s="92"/>
      <c r="G60" s="92" t="s">
        <v>3956</v>
      </c>
      <c r="H60" s="92">
        <v>5</v>
      </c>
      <c r="I60" s="92" t="s">
        <v>5575</v>
      </c>
      <c r="J60" s="92" t="s">
        <v>2262</v>
      </c>
      <c r="K60" s="92">
        <v>5</v>
      </c>
      <c r="L60" s="1445">
        <v>0.28999999999999998</v>
      </c>
      <c r="M60" s="92">
        <v>2</v>
      </c>
      <c r="N60" s="1445">
        <v>0.13</v>
      </c>
      <c r="O60" s="1445"/>
      <c r="P60" s="1778">
        <v>52436640</v>
      </c>
      <c r="Q60" s="1778">
        <v>58386840</v>
      </c>
      <c r="R60" s="1778">
        <v>15693000</v>
      </c>
      <c r="S60" s="1778">
        <v>15693000</v>
      </c>
      <c r="T60" s="75">
        <f t="shared" si="11"/>
        <v>0.26877632014337477</v>
      </c>
      <c r="U60" s="75">
        <f t="shared" si="11"/>
        <v>1</v>
      </c>
      <c r="V60" s="1460"/>
      <c r="W60" s="1460"/>
      <c r="X60" s="1462" t="s">
        <v>5576</v>
      </c>
      <c r="Y60" s="92" t="s">
        <v>84</v>
      </c>
    </row>
    <row r="61" spans="1:25" ht="94.5">
      <c r="A61" s="128"/>
      <c r="B61" s="1295"/>
      <c r="C61" s="128"/>
      <c r="D61" s="1270"/>
      <c r="E61" s="92" t="s">
        <v>3957</v>
      </c>
      <c r="F61" s="92"/>
      <c r="G61" s="92"/>
      <c r="H61" s="92"/>
      <c r="I61" s="92" t="s">
        <v>5577</v>
      </c>
      <c r="J61" s="92" t="s">
        <v>110</v>
      </c>
      <c r="K61" s="92">
        <v>1</v>
      </c>
      <c r="L61" s="1445">
        <v>0.36</v>
      </c>
      <c r="M61" s="92">
        <v>1</v>
      </c>
      <c r="N61" s="1445">
        <v>0.2</v>
      </c>
      <c r="O61" s="1445"/>
      <c r="P61" s="1778">
        <v>155170920</v>
      </c>
      <c r="Q61" s="1778">
        <v>214069000</v>
      </c>
      <c r="R61" s="1778">
        <v>62772000</v>
      </c>
      <c r="S61" s="1778">
        <v>15693000</v>
      </c>
      <c r="T61" s="75">
        <f t="shared" si="11"/>
        <v>0.29323255585815788</v>
      </c>
      <c r="U61" s="75">
        <f t="shared" si="11"/>
        <v>0.25</v>
      </c>
      <c r="V61" s="1460"/>
      <c r="W61" s="1460"/>
      <c r="X61" s="1462" t="s">
        <v>5578</v>
      </c>
      <c r="Y61" s="92" t="s">
        <v>84</v>
      </c>
    </row>
    <row r="62" spans="1:25" ht="27">
      <c r="A62" s="128"/>
      <c r="B62" s="72">
        <v>52010010011</v>
      </c>
      <c r="C62" s="128" t="s">
        <v>103</v>
      </c>
      <c r="D62" s="92" t="s">
        <v>3958</v>
      </c>
      <c r="E62" s="92"/>
      <c r="F62" s="92">
        <v>1</v>
      </c>
      <c r="G62" s="92"/>
      <c r="H62" s="92">
        <f>H63</f>
        <v>1</v>
      </c>
      <c r="I62" s="92"/>
      <c r="J62" s="92"/>
      <c r="K62" s="92"/>
      <c r="L62" s="1445"/>
      <c r="M62" s="92"/>
      <c r="N62" s="1445"/>
      <c r="O62" s="1445"/>
      <c r="P62" s="1778"/>
      <c r="Q62" s="1778"/>
      <c r="R62" s="1778"/>
      <c r="S62" s="1778"/>
      <c r="T62" s="75"/>
      <c r="U62" s="75"/>
      <c r="V62" s="1460"/>
      <c r="W62" s="1460"/>
      <c r="X62" s="110"/>
      <c r="Y62" s="92"/>
    </row>
    <row r="63" spans="1:25" ht="27">
      <c r="A63" s="128">
        <v>4164</v>
      </c>
      <c r="B63" s="935"/>
      <c r="C63" s="128" t="s">
        <v>451</v>
      </c>
      <c r="D63" s="934" t="s">
        <v>3959</v>
      </c>
      <c r="E63" s="92" t="s">
        <v>3960</v>
      </c>
      <c r="F63" s="92"/>
      <c r="G63" s="92"/>
      <c r="H63" s="92">
        <v>1</v>
      </c>
      <c r="I63" s="92"/>
      <c r="J63" s="92"/>
      <c r="K63" s="92">
        <f>+K64</f>
        <v>60</v>
      </c>
      <c r="L63" s="1445">
        <f>L64+L65+L66</f>
        <v>1</v>
      </c>
      <c r="M63" s="92"/>
      <c r="N63" s="1445">
        <f>N64+N65</f>
        <v>0.49</v>
      </c>
      <c r="O63" s="1445">
        <f>IF(Q63&gt;0, N63,"na")</f>
        <v>0.49</v>
      </c>
      <c r="P63" s="1778">
        <v>333503308</v>
      </c>
      <c r="Q63" s="1778">
        <v>527268588</v>
      </c>
      <c r="R63" s="1778">
        <v>340034000</v>
      </c>
      <c r="S63" s="1778">
        <v>126386000</v>
      </c>
      <c r="T63" s="75">
        <f t="shared" ref="T63:U65" si="12">IF(Q63=0,0,R63/Q63)</f>
        <v>0.64489713163037887</v>
      </c>
      <c r="U63" s="75">
        <f t="shared" si="12"/>
        <v>0.37168636077568712</v>
      </c>
      <c r="V63" s="1460">
        <v>44944</v>
      </c>
      <c r="W63" s="1784">
        <v>45291</v>
      </c>
      <c r="X63" s="110"/>
      <c r="Y63" s="92"/>
    </row>
    <row r="64" spans="1:25" ht="94.5">
      <c r="A64" s="128"/>
      <c r="B64" s="1224"/>
      <c r="C64" s="128"/>
      <c r="D64" s="1270"/>
      <c r="E64" s="92" t="s">
        <v>3961</v>
      </c>
      <c r="F64" s="92"/>
      <c r="G64" s="92"/>
      <c r="H64" s="92"/>
      <c r="I64" s="92" t="s">
        <v>3962</v>
      </c>
      <c r="J64" s="92" t="s">
        <v>106</v>
      </c>
      <c r="K64" s="92">
        <v>60</v>
      </c>
      <c r="L64" s="1445">
        <v>0.4</v>
      </c>
      <c r="M64" s="92">
        <v>20</v>
      </c>
      <c r="N64" s="1445">
        <v>0.14000000000000001</v>
      </c>
      <c r="O64" s="1445"/>
      <c r="P64" s="1778">
        <v>144939108</v>
      </c>
      <c r="Q64" s="1778">
        <v>275680588</v>
      </c>
      <c r="R64" s="1778">
        <v>207676000</v>
      </c>
      <c r="S64" s="1778">
        <v>90245000</v>
      </c>
      <c r="T64" s="75">
        <f t="shared" si="12"/>
        <v>0.75332108621300531</v>
      </c>
      <c r="U64" s="75">
        <f t="shared" si="12"/>
        <v>0.43454708295614325</v>
      </c>
      <c r="V64" s="1460"/>
      <c r="W64" s="1460"/>
      <c r="X64" s="1462" t="s">
        <v>5579</v>
      </c>
      <c r="Y64" s="92" t="s">
        <v>84</v>
      </c>
    </row>
    <row r="65" spans="1:25" ht="81">
      <c r="A65" s="128"/>
      <c r="B65" s="1225"/>
      <c r="C65" s="128"/>
      <c r="D65" s="1280"/>
      <c r="E65" s="92" t="s">
        <v>3963</v>
      </c>
      <c r="F65" s="92"/>
      <c r="G65" s="92" t="s">
        <v>3964</v>
      </c>
      <c r="H65" s="92">
        <v>1</v>
      </c>
      <c r="I65" s="92" t="s">
        <v>3965</v>
      </c>
      <c r="J65" s="92" t="s">
        <v>110</v>
      </c>
      <c r="K65" s="92">
        <v>1</v>
      </c>
      <c r="L65" s="1445">
        <v>0.6</v>
      </c>
      <c r="M65" s="92">
        <v>1</v>
      </c>
      <c r="N65" s="1445">
        <v>0.35</v>
      </c>
      <c r="O65" s="1445"/>
      <c r="P65" s="1778">
        <v>188564200</v>
      </c>
      <c r="Q65" s="1778">
        <v>251588000</v>
      </c>
      <c r="R65" s="1778">
        <v>132358000</v>
      </c>
      <c r="S65" s="1778">
        <v>36141000</v>
      </c>
      <c r="T65" s="75">
        <f t="shared" si="12"/>
        <v>0.52609027457589397</v>
      </c>
      <c r="U65" s="75">
        <f t="shared" si="12"/>
        <v>0.27305489656839782</v>
      </c>
      <c r="V65" s="1460"/>
      <c r="W65" s="1460"/>
      <c r="X65" s="1462" t="s">
        <v>5580</v>
      </c>
      <c r="Y65" s="92" t="s">
        <v>84</v>
      </c>
    </row>
    <row r="66" spans="1:25" ht="27">
      <c r="A66" s="128"/>
      <c r="B66" s="128">
        <v>52010010012</v>
      </c>
      <c r="C66" s="128" t="s">
        <v>103</v>
      </c>
      <c r="D66" s="92" t="s">
        <v>3969</v>
      </c>
      <c r="E66" s="92"/>
      <c r="F66" s="92">
        <v>2</v>
      </c>
      <c r="G66" s="92"/>
      <c r="H66" s="92">
        <f>H67</f>
        <v>2</v>
      </c>
      <c r="I66" s="92"/>
      <c r="J66" s="92"/>
      <c r="K66" s="92"/>
      <c r="L66" s="1445"/>
      <c r="M66" s="92"/>
      <c r="N66" s="1445"/>
      <c r="O66" s="1445"/>
      <c r="P66" s="1778"/>
      <c r="Q66" s="1778"/>
      <c r="R66" s="1778"/>
      <c r="S66" s="1778"/>
      <c r="T66" s="75"/>
      <c r="U66" s="75"/>
      <c r="V66" s="1460"/>
      <c r="W66" s="1460"/>
      <c r="X66" s="110"/>
      <c r="Y66" s="92"/>
    </row>
    <row r="67" spans="1:25" ht="40.5">
      <c r="A67" s="128">
        <v>4164</v>
      </c>
      <c r="B67" s="935"/>
      <c r="C67" s="128" t="s">
        <v>451</v>
      </c>
      <c r="D67" s="934" t="s">
        <v>3966</v>
      </c>
      <c r="E67" s="92" t="s">
        <v>3967</v>
      </c>
      <c r="F67" s="92"/>
      <c r="G67" s="92"/>
      <c r="H67" s="92">
        <v>2</v>
      </c>
      <c r="I67" s="92"/>
      <c r="J67" s="92"/>
      <c r="K67" s="92">
        <f>+K68</f>
        <v>2</v>
      </c>
      <c r="L67" s="1445">
        <f>L68+L69+L70</f>
        <v>1</v>
      </c>
      <c r="M67" s="92"/>
      <c r="N67" s="1445">
        <f>N68+N69</f>
        <v>0.42000000000000004</v>
      </c>
      <c r="O67" s="1445">
        <f>IF(Q67&gt;0, N67,"na")</f>
        <v>0.42000000000000004</v>
      </c>
      <c r="P67" s="1778">
        <v>323814761</v>
      </c>
      <c r="Q67" s="1778">
        <v>442330561</v>
      </c>
      <c r="R67" s="1778">
        <v>280711000</v>
      </c>
      <c r="S67" s="1778">
        <v>39202000</v>
      </c>
      <c r="T67" s="75">
        <f t="shared" ref="T67:U69" si="13">IF(Q67=0,0,R67/Q67)</f>
        <v>0.6346181447770235</v>
      </c>
      <c r="U67" s="75">
        <f t="shared" si="13"/>
        <v>0.13965252519495139</v>
      </c>
      <c r="V67" s="1460">
        <v>44963</v>
      </c>
      <c r="W67" s="1784">
        <v>45291</v>
      </c>
      <c r="X67" s="110"/>
      <c r="Y67" s="92"/>
    </row>
    <row r="68" spans="1:25" ht="108">
      <c r="A68" s="128"/>
      <c r="B68" s="1224"/>
      <c r="C68" s="128"/>
      <c r="D68" s="1270"/>
      <c r="E68" s="92" t="s">
        <v>3968</v>
      </c>
      <c r="F68" s="92"/>
      <c r="G68" s="92" t="s">
        <v>3969</v>
      </c>
      <c r="H68" s="92">
        <v>2</v>
      </c>
      <c r="I68" s="92" t="s">
        <v>3927</v>
      </c>
      <c r="J68" s="92" t="s">
        <v>3383</v>
      </c>
      <c r="K68" s="92">
        <v>2</v>
      </c>
      <c r="L68" s="1445">
        <v>0.5</v>
      </c>
      <c r="M68" s="92">
        <v>0</v>
      </c>
      <c r="N68" s="1445">
        <v>0.15000000000000002</v>
      </c>
      <c r="O68" s="1445"/>
      <c r="P68" s="1778">
        <v>225292921</v>
      </c>
      <c r="Q68" s="1778">
        <v>312453921</v>
      </c>
      <c r="R68" s="1778">
        <v>170941000</v>
      </c>
      <c r="S68" s="1778">
        <v>32642000</v>
      </c>
      <c r="T68" s="75">
        <f t="shared" si="13"/>
        <v>0.54709187022812233</v>
      </c>
      <c r="U68" s="75">
        <f t="shared" si="13"/>
        <v>0.19095477386934673</v>
      </c>
      <c r="V68" s="1460"/>
      <c r="W68" s="1460"/>
      <c r="X68" s="1462" t="s">
        <v>5581</v>
      </c>
      <c r="Y68" s="92" t="s">
        <v>84</v>
      </c>
    </row>
    <row r="69" spans="1:25" ht="108">
      <c r="A69" s="128"/>
      <c r="B69" s="1225"/>
      <c r="C69" s="128"/>
      <c r="D69" s="1280"/>
      <c r="E69" s="92" t="s">
        <v>3970</v>
      </c>
      <c r="F69" s="92"/>
      <c r="G69" s="92"/>
      <c r="H69" s="92"/>
      <c r="I69" s="92" t="s">
        <v>3971</v>
      </c>
      <c r="J69" s="92" t="s">
        <v>3417</v>
      </c>
      <c r="K69" s="92">
        <v>20</v>
      </c>
      <c r="L69" s="1445">
        <v>0.5</v>
      </c>
      <c r="M69" s="92">
        <v>9</v>
      </c>
      <c r="N69" s="1445">
        <v>0.27</v>
      </c>
      <c r="O69" s="1445"/>
      <c r="P69" s="1778">
        <v>98521840</v>
      </c>
      <c r="Q69" s="1778">
        <v>129876640</v>
      </c>
      <c r="R69" s="1778">
        <v>109770000</v>
      </c>
      <c r="S69" s="1778">
        <v>6560000</v>
      </c>
      <c r="T69" s="75">
        <f t="shared" si="13"/>
        <v>0.84518663248448678</v>
      </c>
      <c r="U69" s="75">
        <f t="shared" si="13"/>
        <v>5.9761319121800126E-2</v>
      </c>
      <c r="V69" s="1200"/>
      <c r="W69" s="1789"/>
      <c r="X69" s="1462" t="s">
        <v>5582</v>
      </c>
      <c r="Y69" s="92" t="s">
        <v>84</v>
      </c>
    </row>
    <row r="70" spans="1:25">
      <c r="A70" s="92"/>
      <c r="B70" s="128">
        <v>52010010013</v>
      </c>
      <c r="C70" s="128" t="s">
        <v>103</v>
      </c>
      <c r="D70" s="92" t="s">
        <v>3972</v>
      </c>
      <c r="E70" s="92"/>
      <c r="F70" s="92">
        <v>1</v>
      </c>
      <c r="G70" s="92"/>
      <c r="H70" s="92">
        <f>H71</f>
        <v>1</v>
      </c>
      <c r="I70" s="92"/>
      <c r="J70" s="92"/>
      <c r="K70" s="92"/>
      <c r="L70" s="1445"/>
      <c r="M70" s="92"/>
      <c r="N70" s="1445"/>
      <c r="O70" s="1445"/>
      <c r="P70" s="1778"/>
      <c r="Q70" s="1778"/>
      <c r="R70" s="1778"/>
      <c r="S70" s="1778"/>
      <c r="T70" s="75"/>
      <c r="U70" s="75"/>
      <c r="V70" s="1460"/>
      <c r="W70" s="1460"/>
      <c r="X70" s="110"/>
      <c r="Y70" s="92"/>
    </row>
    <row r="71" spans="1:25" ht="27">
      <c r="A71" s="128">
        <v>4164</v>
      </c>
      <c r="B71" s="935"/>
      <c r="C71" s="72" t="s">
        <v>451</v>
      </c>
      <c r="D71" s="934" t="s">
        <v>3973</v>
      </c>
      <c r="E71" s="92" t="s">
        <v>3974</v>
      </c>
      <c r="F71" s="92"/>
      <c r="G71" s="92"/>
      <c r="H71" s="92">
        <v>1</v>
      </c>
      <c r="I71" s="92"/>
      <c r="J71" s="92"/>
      <c r="K71" s="92">
        <f>+K72</f>
        <v>1</v>
      </c>
      <c r="L71" s="1445">
        <f>L72+L73+L74</f>
        <v>1</v>
      </c>
      <c r="M71" s="92"/>
      <c r="N71" s="1445">
        <f>N72+N73</f>
        <v>0.55499999999999994</v>
      </c>
      <c r="O71" s="1445">
        <f>IF(Q71&gt;0, N71,"na")</f>
        <v>0.55499999999999994</v>
      </c>
      <c r="P71" s="1778">
        <v>233612370</v>
      </c>
      <c r="Q71" s="1778">
        <v>470855850</v>
      </c>
      <c r="R71" s="1778">
        <v>289162500</v>
      </c>
      <c r="S71" s="1778">
        <v>133580500</v>
      </c>
      <c r="T71" s="75">
        <f t="shared" ref="T71:U73" si="14">IF(Q71=0,0,R71/Q71)</f>
        <v>0.61412107336035004</v>
      </c>
      <c r="U71" s="75">
        <f t="shared" si="14"/>
        <v>0.4619565123416764</v>
      </c>
      <c r="V71" s="1460">
        <v>44943</v>
      </c>
      <c r="W71" s="1784">
        <v>45291</v>
      </c>
      <c r="X71" s="110"/>
      <c r="Y71" s="92"/>
    </row>
    <row r="72" spans="1:25" ht="94.5">
      <c r="A72" s="128"/>
      <c r="B72" s="1224"/>
      <c r="C72" s="72"/>
      <c r="D72" s="1270"/>
      <c r="E72" s="92" t="s">
        <v>3975</v>
      </c>
      <c r="F72" s="92"/>
      <c r="G72" s="92" t="s">
        <v>3972</v>
      </c>
      <c r="H72" s="92">
        <v>1</v>
      </c>
      <c r="I72" s="92" t="s">
        <v>3976</v>
      </c>
      <c r="J72" s="92" t="s">
        <v>3977</v>
      </c>
      <c r="K72" s="92">
        <v>1</v>
      </c>
      <c r="L72" s="1445">
        <v>0.75</v>
      </c>
      <c r="M72" s="92">
        <v>0</v>
      </c>
      <c r="N72" s="1445">
        <v>0.375</v>
      </c>
      <c r="O72" s="1445"/>
      <c r="P72" s="1778">
        <v>175373558</v>
      </c>
      <c r="Q72" s="1778">
        <v>360934678</v>
      </c>
      <c r="R72" s="1778">
        <v>216872500</v>
      </c>
      <c r="S72" s="1778">
        <v>90206500</v>
      </c>
      <c r="T72" s="75">
        <f t="shared" si="14"/>
        <v>0.60086357232762211</v>
      </c>
      <c r="U72" s="75">
        <f t="shared" si="14"/>
        <v>0.41594254688814858</v>
      </c>
      <c r="V72" s="1460"/>
      <c r="W72" s="1460"/>
      <c r="X72" s="1462" t="s">
        <v>5583</v>
      </c>
      <c r="Y72" s="92" t="s">
        <v>84</v>
      </c>
    </row>
    <row r="73" spans="1:25" ht="67.5">
      <c r="A73" s="128"/>
      <c r="B73" s="1225"/>
      <c r="C73" s="72"/>
      <c r="D73" s="1280"/>
      <c r="E73" s="92" t="s">
        <v>3978</v>
      </c>
      <c r="F73" s="92"/>
      <c r="G73" s="92"/>
      <c r="H73" s="92"/>
      <c r="I73" s="92" t="s">
        <v>3979</v>
      </c>
      <c r="J73" s="92" t="s">
        <v>3359</v>
      </c>
      <c r="K73" s="92">
        <v>7</v>
      </c>
      <c r="L73" s="1445">
        <v>0.25</v>
      </c>
      <c r="M73" s="92">
        <v>5</v>
      </c>
      <c r="N73" s="1445">
        <v>0.18</v>
      </c>
      <c r="O73" s="1445"/>
      <c r="P73" s="1778">
        <v>58238812</v>
      </c>
      <c r="Q73" s="1778">
        <v>109921172</v>
      </c>
      <c r="R73" s="1778">
        <v>72290000</v>
      </c>
      <c r="S73" s="1778">
        <v>43374000</v>
      </c>
      <c r="T73" s="75">
        <f t="shared" si="14"/>
        <v>0.65765310435372726</v>
      </c>
      <c r="U73" s="75">
        <f t="shared" si="14"/>
        <v>0.6</v>
      </c>
      <c r="V73" s="1460"/>
      <c r="W73" s="1460"/>
      <c r="X73" s="1787" t="s">
        <v>5584</v>
      </c>
      <c r="Y73" s="92" t="s">
        <v>84</v>
      </c>
    </row>
    <row r="74" spans="1:25" ht="27">
      <c r="A74" s="72"/>
      <c r="B74" s="72">
        <v>52010010014</v>
      </c>
      <c r="C74" s="72" t="s">
        <v>103</v>
      </c>
      <c r="D74" s="92" t="s">
        <v>3980</v>
      </c>
      <c r="E74" s="92"/>
      <c r="F74" s="92">
        <v>1</v>
      </c>
      <c r="G74" s="92"/>
      <c r="H74" s="92">
        <f>H75</f>
        <v>1</v>
      </c>
      <c r="I74" s="92"/>
      <c r="J74" s="92"/>
      <c r="K74" s="92"/>
      <c r="L74" s="1445"/>
      <c r="M74" s="92"/>
      <c r="N74" s="1445"/>
      <c r="O74" s="1445"/>
      <c r="P74" s="1778"/>
      <c r="Q74" s="1778"/>
      <c r="R74" s="1778"/>
      <c r="S74" s="1778"/>
      <c r="T74" s="75"/>
      <c r="U74" s="75"/>
      <c r="V74" s="1460"/>
      <c r="W74" s="1460"/>
      <c r="X74" s="110"/>
      <c r="Y74" s="92"/>
    </row>
    <row r="75" spans="1:25" ht="40.5">
      <c r="A75" s="72">
        <v>4164</v>
      </c>
      <c r="B75" s="933"/>
      <c r="C75" s="933" t="s">
        <v>451</v>
      </c>
      <c r="D75" s="934" t="s">
        <v>3981</v>
      </c>
      <c r="E75" s="92" t="s">
        <v>3982</v>
      </c>
      <c r="F75" s="92"/>
      <c r="G75" s="92"/>
      <c r="H75" s="92">
        <v>1</v>
      </c>
      <c r="I75" s="92"/>
      <c r="J75" s="92"/>
      <c r="K75" s="92">
        <f>SUM(K78)</f>
        <v>1</v>
      </c>
      <c r="L75" s="1445">
        <f>L76+L77+L78+L79</f>
        <v>1</v>
      </c>
      <c r="M75" s="92"/>
      <c r="N75" s="1445">
        <f>N76+N77+N78+N79</f>
        <v>0.35000000000000003</v>
      </c>
      <c r="O75" s="1445">
        <f>IF(Q75&gt;0, N75,"na")</f>
        <v>0.35000000000000003</v>
      </c>
      <c r="P75" s="1778">
        <v>282833581</v>
      </c>
      <c r="Q75" s="1778">
        <v>441314141</v>
      </c>
      <c r="R75" s="1778">
        <v>205692500</v>
      </c>
      <c r="S75" s="1778">
        <v>75587500</v>
      </c>
      <c r="T75" s="75">
        <f t="shared" ref="T75:U76" si="15">IF(Q75=0,0,R75/Q75)</f>
        <v>0.46609088830443801</v>
      </c>
      <c r="U75" s="75">
        <f t="shared" si="15"/>
        <v>0.36747815306829368</v>
      </c>
      <c r="V75" s="1460">
        <v>44943</v>
      </c>
      <c r="W75" s="1784">
        <v>45291</v>
      </c>
      <c r="X75" s="110"/>
      <c r="Y75" s="92"/>
    </row>
    <row r="76" spans="1:25" ht="54">
      <c r="A76" s="72"/>
      <c r="B76" s="1295"/>
      <c r="C76" s="1295"/>
      <c r="D76" s="1270"/>
      <c r="E76" s="92" t="s">
        <v>3983</v>
      </c>
      <c r="F76" s="92"/>
      <c r="G76" s="92"/>
      <c r="H76" s="92"/>
      <c r="I76" s="92" t="s">
        <v>5585</v>
      </c>
      <c r="J76" s="92" t="s">
        <v>125</v>
      </c>
      <c r="K76" s="92">
        <v>1</v>
      </c>
      <c r="L76" s="1445">
        <v>0.25</v>
      </c>
      <c r="M76" s="1790">
        <v>0</v>
      </c>
      <c r="N76" s="1445">
        <v>0.15</v>
      </c>
      <c r="O76" s="1445"/>
      <c r="P76" s="1778">
        <v>70745141</v>
      </c>
      <c r="Q76" s="1778">
        <v>102959501</v>
      </c>
      <c r="R76" s="1778">
        <v>31386000</v>
      </c>
      <c r="S76" s="1778">
        <v>10462000</v>
      </c>
      <c r="T76" s="75">
        <f t="shared" si="15"/>
        <v>0.30483830724859479</v>
      </c>
      <c r="U76" s="75">
        <f t="shared" si="15"/>
        <v>0.33333333333333331</v>
      </c>
      <c r="V76" s="1460"/>
      <c r="W76" s="1460"/>
      <c r="X76" s="1787" t="s">
        <v>5586</v>
      </c>
      <c r="Y76" s="92" t="s">
        <v>84</v>
      </c>
    </row>
    <row r="77" spans="1:25" ht="40.5">
      <c r="A77" s="72"/>
      <c r="B77" s="1295"/>
      <c r="C77" s="1295"/>
      <c r="D77" s="1270"/>
      <c r="E77" s="92" t="s">
        <v>3984</v>
      </c>
      <c r="F77" s="92"/>
      <c r="G77" s="92"/>
      <c r="H77" s="92"/>
      <c r="I77" s="92" t="s">
        <v>3985</v>
      </c>
      <c r="J77" s="92" t="s">
        <v>498</v>
      </c>
      <c r="K77" s="92">
        <v>1</v>
      </c>
      <c r="L77" s="1445">
        <v>0.01</v>
      </c>
      <c r="M77" s="1790">
        <v>0</v>
      </c>
      <c r="N77" s="1445">
        <v>0</v>
      </c>
      <c r="O77" s="1445"/>
      <c r="P77" s="1778">
        <v>331820</v>
      </c>
      <c r="Q77" s="1778">
        <v>331820</v>
      </c>
      <c r="R77" s="1778">
        <v>0</v>
      </c>
      <c r="S77" s="1778">
        <v>0</v>
      </c>
      <c r="T77" s="75"/>
      <c r="U77" s="75">
        <f>IF(R77=0,0,S77/R77)</f>
        <v>0</v>
      </c>
      <c r="V77" s="1460"/>
      <c r="W77" s="1460"/>
      <c r="X77" s="1787"/>
      <c r="Y77" s="92"/>
    </row>
    <row r="78" spans="1:25" ht="121.5">
      <c r="A78" s="72"/>
      <c r="B78" s="1295"/>
      <c r="C78" s="1295"/>
      <c r="D78" s="1270"/>
      <c r="E78" s="92" t="s">
        <v>3986</v>
      </c>
      <c r="F78" s="92"/>
      <c r="G78" s="92" t="s">
        <v>3980</v>
      </c>
      <c r="H78" s="92"/>
      <c r="I78" s="92" t="s">
        <v>3987</v>
      </c>
      <c r="J78" s="92" t="s">
        <v>2262</v>
      </c>
      <c r="K78" s="92">
        <v>1</v>
      </c>
      <c r="L78" s="1445">
        <v>0.36</v>
      </c>
      <c r="M78" s="1790">
        <v>0</v>
      </c>
      <c r="N78" s="1445">
        <v>0.12</v>
      </c>
      <c r="O78" s="1445"/>
      <c r="P78" s="1778">
        <v>104523660</v>
      </c>
      <c r="Q78" s="1778">
        <v>191976820</v>
      </c>
      <c r="R78" s="1778">
        <v>114551500</v>
      </c>
      <c r="S78" s="1778">
        <v>57315500</v>
      </c>
      <c r="T78" s="75">
        <f t="shared" ref="T78:U79" si="16">IF(Q78=0,0,R78/Q78)</f>
        <v>0.59669443425513558</v>
      </c>
      <c r="U78" s="75">
        <f t="shared" si="16"/>
        <v>0.50034700549534494</v>
      </c>
      <c r="V78" s="1460"/>
      <c r="W78" s="1460"/>
      <c r="X78" s="1787" t="s">
        <v>5587</v>
      </c>
      <c r="Y78" s="92" t="s">
        <v>84</v>
      </c>
    </row>
    <row r="79" spans="1:25" ht="40.5">
      <c r="A79" s="72"/>
      <c r="B79" s="1286"/>
      <c r="C79" s="1286"/>
      <c r="D79" s="1280"/>
      <c r="E79" s="92" t="s">
        <v>3988</v>
      </c>
      <c r="F79" s="92"/>
      <c r="G79" s="92"/>
      <c r="H79" s="92">
        <v>1</v>
      </c>
      <c r="I79" s="92" t="s">
        <v>3989</v>
      </c>
      <c r="J79" s="92" t="s">
        <v>106</v>
      </c>
      <c r="K79" s="92">
        <v>200</v>
      </c>
      <c r="L79" s="1445">
        <v>0.38</v>
      </c>
      <c r="M79" s="1790">
        <v>0</v>
      </c>
      <c r="N79" s="1445">
        <v>0.08</v>
      </c>
      <c r="O79" s="1445"/>
      <c r="P79" s="1778">
        <v>107232960</v>
      </c>
      <c r="Q79" s="1778">
        <v>146046000</v>
      </c>
      <c r="R79" s="1778">
        <v>59755000</v>
      </c>
      <c r="S79" s="1778">
        <v>7810000</v>
      </c>
      <c r="T79" s="75">
        <f t="shared" si="16"/>
        <v>0.4091519110417266</v>
      </c>
      <c r="U79" s="75">
        <f t="shared" si="16"/>
        <v>0.13070035980252698</v>
      </c>
      <c r="V79" s="1460"/>
      <c r="W79" s="1460"/>
      <c r="X79" s="1787" t="s">
        <v>5588</v>
      </c>
      <c r="Y79" s="92" t="s">
        <v>84</v>
      </c>
    </row>
    <row r="80" spans="1:25" ht="40.5">
      <c r="A80" s="92"/>
      <c r="B80" s="128">
        <v>52010010016</v>
      </c>
      <c r="C80" s="128" t="s">
        <v>103</v>
      </c>
      <c r="D80" s="92" t="s">
        <v>3990</v>
      </c>
      <c r="E80" s="92"/>
      <c r="F80" s="92">
        <v>2</v>
      </c>
      <c r="G80" s="92"/>
      <c r="H80" s="92"/>
      <c r="I80" s="92"/>
      <c r="J80" s="92"/>
      <c r="K80" s="92"/>
      <c r="L80" s="1445"/>
      <c r="M80" s="92"/>
      <c r="N80" s="1445"/>
      <c r="O80" s="1445"/>
      <c r="P80" s="1778"/>
      <c r="Q80" s="1778"/>
      <c r="R80" s="1778"/>
      <c r="S80" s="1778"/>
      <c r="T80" s="75"/>
      <c r="U80" s="75"/>
      <c r="V80" s="1460"/>
      <c r="W80" s="1460"/>
      <c r="X80" s="110"/>
      <c r="Y80" s="92"/>
    </row>
    <row r="81" spans="1:25" ht="27">
      <c r="A81" s="128">
        <v>4164</v>
      </c>
      <c r="B81" s="935"/>
      <c r="C81" s="72" t="s">
        <v>451</v>
      </c>
      <c r="D81" s="934" t="s">
        <v>3991</v>
      </c>
      <c r="E81" s="92" t="s">
        <v>3992</v>
      </c>
      <c r="F81" s="92"/>
      <c r="G81" s="92"/>
      <c r="H81" s="92">
        <v>2</v>
      </c>
      <c r="I81" s="92"/>
      <c r="J81" s="92"/>
      <c r="K81" s="92">
        <f>+K82</f>
        <v>2</v>
      </c>
      <c r="L81" s="1445">
        <f>L82+L83+L84</f>
        <v>1</v>
      </c>
      <c r="M81" s="92"/>
      <c r="N81" s="1445">
        <f>N82+N83</f>
        <v>0.51</v>
      </c>
      <c r="O81" s="1445">
        <f>IF(Q81&gt;0, N81,"na")</f>
        <v>0.51</v>
      </c>
      <c r="P81" s="1778">
        <v>871136998</v>
      </c>
      <c r="Q81" s="1778">
        <v>871136998</v>
      </c>
      <c r="R81" s="1778">
        <v>374369500</v>
      </c>
      <c r="S81" s="1778">
        <v>169421500</v>
      </c>
      <c r="T81" s="75">
        <f t="shared" ref="T81:U83" si="17">IF(Q81=0,0,R81/Q81)</f>
        <v>0.42974813474745793</v>
      </c>
      <c r="U81" s="75">
        <f t="shared" si="17"/>
        <v>0.45255155668397129</v>
      </c>
      <c r="V81" s="1460">
        <v>44942</v>
      </c>
      <c r="W81" s="1784">
        <v>45291</v>
      </c>
      <c r="X81" s="110"/>
      <c r="Y81" s="92"/>
    </row>
    <row r="82" spans="1:25" ht="148.5">
      <c r="A82" s="128"/>
      <c r="B82" s="1224"/>
      <c r="C82" s="72"/>
      <c r="D82" s="1270"/>
      <c r="E82" s="92" t="s">
        <v>3993</v>
      </c>
      <c r="F82" s="92"/>
      <c r="G82" s="92" t="s">
        <v>3994</v>
      </c>
      <c r="H82" s="92">
        <v>2</v>
      </c>
      <c r="I82" s="92" t="s">
        <v>5589</v>
      </c>
      <c r="J82" s="92" t="s">
        <v>3359</v>
      </c>
      <c r="K82" s="92">
        <v>2</v>
      </c>
      <c r="L82" s="1445">
        <v>0.6</v>
      </c>
      <c r="M82" s="92">
        <v>1</v>
      </c>
      <c r="N82" s="1445">
        <v>0.32</v>
      </c>
      <c r="O82" s="1445"/>
      <c r="P82" s="1778">
        <v>545418880</v>
      </c>
      <c r="Q82" s="1778">
        <v>531918880</v>
      </c>
      <c r="R82" s="1778">
        <v>188406500</v>
      </c>
      <c r="S82" s="1778">
        <v>91889500</v>
      </c>
      <c r="T82" s="75">
        <f t="shared" si="17"/>
        <v>0.35420156547178772</v>
      </c>
      <c r="U82" s="75">
        <f t="shared" si="17"/>
        <v>0.48771937273926325</v>
      </c>
      <c r="V82" s="1460"/>
      <c r="W82" s="1460"/>
      <c r="X82" s="1462" t="s">
        <v>5590</v>
      </c>
      <c r="Y82" s="92" t="s">
        <v>84</v>
      </c>
    </row>
    <row r="83" spans="1:25" ht="108">
      <c r="A83" s="128"/>
      <c r="B83" s="1225"/>
      <c r="C83" s="72"/>
      <c r="D83" s="1280"/>
      <c r="E83" s="92" t="s">
        <v>3995</v>
      </c>
      <c r="F83" s="92"/>
      <c r="G83" s="92"/>
      <c r="H83" s="92"/>
      <c r="I83" s="92" t="s">
        <v>3996</v>
      </c>
      <c r="J83" s="92" t="s">
        <v>2229</v>
      </c>
      <c r="K83" s="92">
        <v>2</v>
      </c>
      <c r="L83" s="1445">
        <v>0.4</v>
      </c>
      <c r="M83" s="92">
        <v>1</v>
      </c>
      <c r="N83" s="1445">
        <v>0.19</v>
      </c>
      <c r="O83" s="1445"/>
      <c r="P83" s="1778">
        <v>325718118</v>
      </c>
      <c r="Q83" s="1778">
        <v>339218118</v>
      </c>
      <c r="R83" s="1778">
        <v>185963000</v>
      </c>
      <c r="S83" s="1778">
        <v>77532000</v>
      </c>
      <c r="T83" s="75">
        <f t="shared" si="17"/>
        <v>0.54821069433561331</v>
      </c>
      <c r="U83" s="75">
        <f t="shared" si="17"/>
        <v>0.41692164570371526</v>
      </c>
      <c r="V83" s="1460"/>
      <c r="W83" s="1460"/>
      <c r="X83" s="1787" t="s">
        <v>5591</v>
      </c>
      <c r="Y83" s="92" t="s">
        <v>84</v>
      </c>
    </row>
    <row r="84" spans="1:25">
      <c r="A84" s="72"/>
      <c r="B84" s="128">
        <v>5201002</v>
      </c>
      <c r="C84" s="72" t="s">
        <v>102</v>
      </c>
      <c r="D84" s="92" t="s">
        <v>1479</v>
      </c>
      <c r="E84" s="92"/>
      <c r="F84" s="92"/>
      <c r="G84" s="92"/>
      <c r="H84" s="92"/>
      <c r="I84" s="92"/>
      <c r="J84" s="92"/>
      <c r="K84" s="92"/>
      <c r="L84" s="1445"/>
      <c r="M84" s="92"/>
      <c r="N84" s="1445"/>
      <c r="O84" s="1445"/>
      <c r="P84" s="1778"/>
      <c r="Q84" s="1778"/>
      <c r="R84" s="1778"/>
      <c r="S84" s="1778"/>
      <c r="T84" s="75"/>
      <c r="U84" s="75"/>
      <c r="V84" s="1460"/>
      <c r="W84" s="1460"/>
      <c r="X84" s="110"/>
      <c r="Y84" s="92"/>
    </row>
    <row r="85" spans="1:25" ht="27">
      <c r="A85" s="72"/>
      <c r="B85" s="72">
        <v>52010020005</v>
      </c>
      <c r="C85" s="72" t="s">
        <v>103</v>
      </c>
      <c r="D85" s="92" t="s">
        <v>3997</v>
      </c>
      <c r="E85" s="92"/>
      <c r="F85" s="92">
        <v>15</v>
      </c>
      <c r="G85" s="92"/>
      <c r="H85" s="92">
        <f>H86</f>
        <v>15</v>
      </c>
      <c r="I85" s="92"/>
      <c r="J85" s="92"/>
      <c r="K85" s="92"/>
      <c r="L85" s="1445"/>
      <c r="M85" s="92"/>
      <c r="N85" s="1445"/>
      <c r="O85" s="1445"/>
      <c r="P85" s="1778"/>
      <c r="Q85" s="1778"/>
      <c r="R85" s="1778"/>
      <c r="S85" s="1778"/>
      <c r="T85" s="75"/>
      <c r="U85" s="75"/>
      <c r="V85" s="1460"/>
      <c r="W85" s="1460"/>
      <c r="X85" s="110"/>
      <c r="Y85" s="92"/>
    </row>
    <row r="86" spans="1:25" ht="27">
      <c r="A86" s="72">
        <v>4164</v>
      </c>
      <c r="B86" s="933"/>
      <c r="C86" s="72" t="s">
        <v>451</v>
      </c>
      <c r="D86" s="934" t="s">
        <v>3998</v>
      </c>
      <c r="E86" s="92" t="s">
        <v>3999</v>
      </c>
      <c r="F86" s="92"/>
      <c r="G86" s="92"/>
      <c r="H86" s="92">
        <v>15</v>
      </c>
      <c r="I86" s="92"/>
      <c r="J86" s="92"/>
      <c r="K86" s="92">
        <f>+K87</f>
        <v>500</v>
      </c>
      <c r="L86" s="1445">
        <f>L87+L88+L89</f>
        <v>1</v>
      </c>
      <c r="M86" s="92"/>
      <c r="N86" s="1445">
        <f>N87+N88</f>
        <v>0.56000000000000005</v>
      </c>
      <c r="O86" s="1445">
        <f>IF(Q86&gt;0, N86,"na")</f>
        <v>0.56000000000000005</v>
      </c>
      <c r="P86" s="1778">
        <v>305712125</v>
      </c>
      <c r="Q86" s="1778">
        <v>572151085</v>
      </c>
      <c r="R86" s="1778">
        <v>362091500</v>
      </c>
      <c r="S86" s="1778">
        <v>143903500</v>
      </c>
      <c r="T86" s="75">
        <f>IF(Q86=0,0,R86/Q86)</f>
        <v>0.6328599376858649</v>
      </c>
      <c r="U86" s="75">
        <f t="shared" ref="U86" si="18">IF(R86=0,0,S86/R86)</f>
        <v>0.39742302705255439</v>
      </c>
      <c r="V86" s="1460">
        <v>44942</v>
      </c>
      <c r="W86" s="1784">
        <v>45291</v>
      </c>
      <c r="X86" s="110"/>
      <c r="Y86" s="92"/>
    </row>
    <row r="87" spans="1:25" ht="94.5">
      <c r="A87" s="72"/>
      <c r="B87" s="1295"/>
      <c r="C87" s="72"/>
      <c r="D87" s="1270"/>
      <c r="E87" s="92" t="s">
        <v>4000</v>
      </c>
      <c r="F87" s="92"/>
      <c r="G87" s="92" t="s">
        <v>3997</v>
      </c>
      <c r="H87" s="92">
        <v>15</v>
      </c>
      <c r="I87" s="92" t="s">
        <v>5592</v>
      </c>
      <c r="J87" s="92" t="s">
        <v>253</v>
      </c>
      <c r="K87" s="92">
        <v>500</v>
      </c>
      <c r="L87" s="1445">
        <v>0.5</v>
      </c>
      <c r="M87" s="92">
        <v>258</v>
      </c>
      <c r="N87" s="1445">
        <v>0.26</v>
      </c>
      <c r="O87" s="1445"/>
      <c r="P87" s="1778">
        <v>249238685</v>
      </c>
      <c r="Q87" s="1778">
        <v>400071085</v>
      </c>
      <c r="R87" s="1778">
        <v>307395500</v>
      </c>
      <c r="S87" s="1778">
        <v>139465500</v>
      </c>
      <c r="T87" s="75">
        <f t="shared" ref="T87:U88" si="19">IF(Q87=0,0,R87/Q87)</f>
        <v>0.76835220420890948</v>
      </c>
      <c r="U87" s="75">
        <f t="shared" si="19"/>
        <v>0.45370052586976711</v>
      </c>
      <c r="V87" s="1460"/>
      <c r="W87" s="1460"/>
      <c r="X87" s="1462" t="s">
        <v>5593</v>
      </c>
      <c r="Y87" s="92" t="s">
        <v>84</v>
      </c>
    </row>
    <row r="88" spans="1:25" ht="121.5">
      <c r="A88" s="72"/>
      <c r="B88" s="1286"/>
      <c r="C88" s="72"/>
      <c r="D88" s="1280"/>
      <c r="E88" s="92" t="s">
        <v>4001</v>
      </c>
      <c r="F88" s="92"/>
      <c r="G88" s="92"/>
      <c r="H88" s="92"/>
      <c r="I88" s="92" t="s">
        <v>5594</v>
      </c>
      <c r="J88" s="92" t="s">
        <v>3896</v>
      </c>
      <c r="K88" s="92">
        <v>1</v>
      </c>
      <c r="L88" s="1445">
        <v>0.5</v>
      </c>
      <c r="M88" s="92">
        <v>0</v>
      </c>
      <c r="N88" s="1445">
        <v>0.3</v>
      </c>
      <c r="O88" s="1445"/>
      <c r="P88" s="1778">
        <v>56473440</v>
      </c>
      <c r="Q88" s="1778">
        <v>172080000</v>
      </c>
      <c r="R88" s="1778">
        <v>54696000</v>
      </c>
      <c r="S88" s="1778">
        <v>4438000</v>
      </c>
      <c r="T88" s="75">
        <f t="shared" si="19"/>
        <v>0.31785216178521619</v>
      </c>
      <c r="U88" s="75">
        <f t="shared" si="19"/>
        <v>8.1139388620740091E-2</v>
      </c>
      <c r="V88" s="1460"/>
      <c r="W88" s="1460"/>
      <c r="X88" s="1462" t="s">
        <v>5595</v>
      </c>
      <c r="Y88" s="92" t="s">
        <v>84</v>
      </c>
    </row>
    <row r="89" spans="1:25" ht="27">
      <c r="A89" s="72"/>
      <c r="B89" s="1286">
        <v>52010020007</v>
      </c>
      <c r="C89" s="933" t="s">
        <v>103</v>
      </c>
      <c r="D89" s="1259" t="s">
        <v>4002</v>
      </c>
      <c r="E89" s="92"/>
      <c r="F89" s="92">
        <v>1</v>
      </c>
      <c r="G89" s="92"/>
      <c r="H89" s="92">
        <f>H90</f>
        <v>1</v>
      </c>
      <c r="I89" s="92"/>
      <c r="J89" s="92"/>
      <c r="K89" s="92"/>
      <c r="L89" s="1445"/>
      <c r="M89" s="92"/>
      <c r="N89" s="1445"/>
      <c r="O89" s="1445"/>
      <c r="P89" s="1778"/>
      <c r="Q89" s="1778"/>
      <c r="R89" s="1778"/>
      <c r="S89" s="1778"/>
      <c r="T89" s="75"/>
      <c r="U89" s="75"/>
      <c r="V89" s="1460"/>
      <c r="W89" s="1460"/>
      <c r="X89" s="110"/>
      <c r="Y89" s="92"/>
    </row>
    <row r="90" spans="1:25" ht="27">
      <c r="A90" s="933">
        <v>4164</v>
      </c>
      <c r="B90" s="933"/>
      <c r="C90" s="933" t="s">
        <v>451</v>
      </c>
      <c r="D90" s="1733" t="s">
        <v>4003</v>
      </c>
      <c r="E90" s="92" t="s">
        <v>4004</v>
      </c>
      <c r="F90" s="92"/>
      <c r="G90" s="92"/>
      <c r="H90" s="92">
        <v>1</v>
      </c>
      <c r="I90" s="92"/>
      <c r="J90" s="92"/>
      <c r="K90" s="92">
        <f>SUM(K91)</f>
        <v>1</v>
      </c>
      <c r="L90" s="1445">
        <f>L91+L92+L93</f>
        <v>1</v>
      </c>
      <c r="M90" s="92"/>
      <c r="N90" s="1445">
        <f>N91+N92</f>
        <v>0.44</v>
      </c>
      <c r="O90" s="1445">
        <f>IF(Q90&gt;0, N90,"na")</f>
        <v>0.44</v>
      </c>
      <c r="P90" s="1778">
        <v>234601230</v>
      </c>
      <c r="Q90" s="1778">
        <v>620075830</v>
      </c>
      <c r="R90" s="1778">
        <v>343354500</v>
      </c>
      <c r="S90" s="1778">
        <v>74317500</v>
      </c>
      <c r="T90" s="75">
        <f>IF(Q90=0,0,R90/Q90)</f>
        <v>0.55372985591133261</v>
      </c>
      <c r="U90" s="75">
        <f t="shared" ref="U90" si="20">IF(R90=0,0,S90/R90)</f>
        <v>0.21644539390047313</v>
      </c>
      <c r="V90" s="1460">
        <v>44943</v>
      </c>
      <c r="W90" s="1784">
        <v>45291</v>
      </c>
      <c r="X90" s="110"/>
      <c r="Y90" s="92"/>
    </row>
    <row r="91" spans="1:25" ht="94.5">
      <c r="A91" s="1295"/>
      <c r="B91" s="1295"/>
      <c r="C91" s="1295"/>
      <c r="D91" s="1733"/>
      <c r="E91" s="92" t="s">
        <v>4005</v>
      </c>
      <c r="F91" s="92"/>
      <c r="G91" s="92" t="s">
        <v>4002</v>
      </c>
      <c r="H91" s="92">
        <v>1</v>
      </c>
      <c r="I91" s="92" t="s">
        <v>4006</v>
      </c>
      <c r="J91" s="92" t="s">
        <v>4007</v>
      </c>
      <c r="K91" s="92">
        <v>1</v>
      </c>
      <c r="L91" s="1445">
        <v>0.49</v>
      </c>
      <c r="M91" s="92">
        <v>0</v>
      </c>
      <c r="N91" s="1445">
        <v>0.2</v>
      </c>
      <c r="O91" s="1445"/>
      <c r="P91" s="1778">
        <v>179840600</v>
      </c>
      <c r="Q91" s="1778">
        <v>453313000</v>
      </c>
      <c r="R91" s="1778">
        <v>247530000</v>
      </c>
      <c r="S91" s="1778">
        <v>61386000</v>
      </c>
      <c r="T91" s="75">
        <f t="shared" ref="T91:U92" si="21">IF(Q91=0,0,R91/Q91)</f>
        <v>0.54604655061734386</v>
      </c>
      <c r="U91" s="75">
        <f t="shared" si="21"/>
        <v>0.2479941825233305</v>
      </c>
      <c r="V91" s="1460"/>
      <c r="W91" s="1460"/>
      <c r="X91" s="1462" t="s">
        <v>5596</v>
      </c>
      <c r="Y91" s="92" t="s">
        <v>84</v>
      </c>
    </row>
    <row r="92" spans="1:25" ht="54">
      <c r="A92" s="1286"/>
      <c r="B92" s="1286"/>
      <c r="C92" s="1286"/>
      <c r="D92" s="1278"/>
      <c r="E92" s="92" t="s">
        <v>4008</v>
      </c>
      <c r="F92" s="92"/>
      <c r="G92" s="92"/>
      <c r="H92" s="92"/>
      <c r="I92" s="92" t="s">
        <v>4009</v>
      </c>
      <c r="J92" s="92" t="s">
        <v>3359</v>
      </c>
      <c r="K92" s="92">
        <v>25</v>
      </c>
      <c r="L92" s="1445">
        <v>0.51</v>
      </c>
      <c r="M92" s="92">
        <v>6</v>
      </c>
      <c r="N92" s="1445">
        <v>0.24</v>
      </c>
      <c r="O92" s="1445"/>
      <c r="P92" s="1778">
        <v>54760630</v>
      </c>
      <c r="Q92" s="1778">
        <v>166762830</v>
      </c>
      <c r="R92" s="1778">
        <v>95824500</v>
      </c>
      <c r="S92" s="1778">
        <v>12931500</v>
      </c>
      <c r="T92" s="75">
        <f t="shared" si="21"/>
        <v>0.57461545837282801</v>
      </c>
      <c r="U92" s="75">
        <f t="shared" si="21"/>
        <v>0.13494983015825807</v>
      </c>
      <c r="V92" s="1460"/>
      <c r="W92" s="1460"/>
      <c r="X92" s="1462" t="s">
        <v>5597</v>
      </c>
      <c r="Y92" s="92" t="s">
        <v>84</v>
      </c>
    </row>
    <row r="93" spans="1:25" ht="27">
      <c r="A93" s="73"/>
      <c r="B93" s="72">
        <v>52010020010</v>
      </c>
      <c r="C93" s="72" t="s">
        <v>103</v>
      </c>
      <c r="D93" s="1259" t="s">
        <v>4010</v>
      </c>
      <c r="E93" s="92"/>
      <c r="F93" s="92">
        <v>1</v>
      </c>
      <c r="G93" s="92"/>
      <c r="H93" s="92">
        <f>H94</f>
        <v>1</v>
      </c>
      <c r="I93" s="92"/>
      <c r="J93" s="92"/>
      <c r="K93" s="92"/>
      <c r="L93" s="1445"/>
      <c r="M93" s="92"/>
      <c r="N93" s="1445"/>
      <c r="O93" s="1445"/>
      <c r="P93" s="1778"/>
      <c r="Q93" s="1778"/>
      <c r="R93" s="1778"/>
      <c r="S93" s="1778"/>
      <c r="T93" s="75"/>
      <c r="U93" s="75"/>
      <c r="V93" s="1460"/>
      <c r="W93" s="1460"/>
      <c r="X93" s="110"/>
      <c r="Y93" s="92"/>
    </row>
    <row r="94" spans="1:25" ht="27">
      <c r="A94" s="72">
        <v>4164</v>
      </c>
      <c r="B94" s="933"/>
      <c r="C94" s="72" t="s">
        <v>451</v>
      </c>
      <c r="D94" s="1156" t="s">
        <v>4011</v>
      </c>
      <c r="E94" s="92" t="s">
        <v>4012</v>
      </c>
      <c r="F94" s="92"/>
      <c r="G94" s="92"/>
      <c r="H94" s="92">
        <v>1</v>
      </c>
      <c r="I94" s="92"/>
      <c r="J94" s="92"/>
      <c r="K94" s="92">
        <f>+K96</f>
        <v>1</v>
      </c>
      <c r="L94" s="1445">
        <f>L95+L96+L97</f>
        <v>0.99999999999999989</v>
      </c>
      <c r="M94" s="92"/>
      <c r="N94" s="1445">
        <f>N95+N96+N97</f>
        <v>0.58500000000000008</v>
      </c>
      <c r="O94" s="1445">
        <f>IF(Q94&gt;0, N94,"na")</f>
        <v>0.58500000000000008</v>
      </c>
      <c r="P94" s="1778">
        <v>368526943</v>
      </c>
      <c r="Q94" s="1778">
        <v>526692683</v>
      </c>
      <c r="R94" s="1778">
        <v>215474500</v>
      </c>
      <c r="S94" s="1778">
        <v>45957500</v>
      </c>
      <c r="T94" s="75">
        <f t="shared" ref="T94:U97" si="22">IF(Q94=0,0,R94/Q94)</f>
        <v>0.40910858828088181</v>
      </c>
      <c r="U94" s="75">
        <f t="shared" si="22"/>
        <v>0.21328509870077433</v>
      </c>
      <c r="V94" s="1460">
        <v>44943</v>
      </c>
      <c r="W94" s="1784">
        <v>45291</v>
      </c>
      <c r="X94" s="110"/>
      <c r="Y94" s="92"/>
    </row>
    <row r="95" spans="1:25" ht="108">
      <c r="A95" s="72"/>
      <c r="B95" s="1295"/>
      <c r="C95" s="72"/>
      <c r="D95" s="1733"/>
      <c r="E95" s="92" t="s">
        <v>4013</v>
      </c>
      <c r="F95" s="92"/>
      <c r="G95" s="92"/>
      <c r="H95" s="92"/>
      <c r="I95" s="92" t="s">
        <v>4014</v>
      </c>
      <c r="J95" s="92" t="s">
        <v>106</v>
      </c>
      <c r="K95" s="92">
        <v>515</v>
      </c>
      <c r="L95" s="1445">
        <v>0.47</v>
      </c>
      <c r="M95" s="92">
        <v>100</v>
      </c>
      <c r="N95" s="1445">
        <v>0.1</v>
      </c>
      <c r="O95" s="1445"/>
      <c r="P95" s="1778">
        <v>181182375</v>
      </c>
      <c r="Q95" s="1778">
        <v>261619075</v>
      </c>
      <c r="R95" s="1778">
        <v>124370000</v>
      </c>
      <c r="S95" s="1778">
        <v>25289000</v>
      </c>
      <c r="T95" s="75">
        <f t="shared" si="22"/>
        <v>0.47538582574684207</v>
      </c>
      <c r="U95" s="75">
        <f t="shared" si="22"/>
        <v>0.20333681756050495</v>
      </c>
      <c r="V95" s="1460"/>
      <c r="W95" s="1460"/>
      <c r="X95" s="1787" t="s">
        <v>5598</v>
      </c>
      <c r="Y95" s="92" t="s">
        <v>84</v>
      </c>
    </row>
    <row r="96" spans="1:25" ht="162">
      <c r="A96" s="72"/>
      <c r="B96" s="1295"/>
      <c r="C96" s="72"/>
      <c r="D96" s="1733"/>
      <c r="E96" s="92" t="s">
        <v>4015</v>
      </c>
      <c r="F96" s="92"/>
      <c r="G96" s="92" t="s">
        <v>4010</v>
      </c>
      <c r="H96" s="92">
        <v>1</v>
      </c>
      <c r="I96" s="92" t="s">
        <v>4016</v>
      </c>
      <c r="J96" s="92" t="s">
        <v>4017</v>
      </c>
      <c r="K96" s="92">
        <v>1</v>
      </c>
      <c r="L96" s="1445">
        <v>0.44</v>
      </c>
      <c r="M96" s="92">
        <v>1</v>
      </c>
      <c r="N96" s="1445">
        <v>0.44</v>
      </c>
      <c r="O96" s="1445"/>
      <c r="P96" s="1778">
        <v>154450030</v>
      </c>
      <c r="Q96" s="1778">
        <v>217513550</v>
      </c>
      <c r="R96" s="1778">
        <v>62334000</v>
      </c>
      <c r="S96" s="1778">
        <v>18053000</v>
      </c>
      <c r="T96" s="75">
        <f t="shared" si="22"/>
        <v>0.28657525013958901</v>
      </c>
      <c r="U96" s="75">
        <f t="shared" si="22"/>
        <v>0.28961722334520484</v>
      </c>
      <c r="V96" s="1460"/>
      <c r="W96" s="1460"/>
      <c r="X96" s="1462" t="s">
        <v>5599</v>
      </c>
      <c r="Y96" s="92" t="s">
        <v>84</v>
      </c>
    </row>
    <row r="97" spans="1:25" ht="81">
      <c r="A97" s="72"/>
      <c r="B97" s="1286"/>
      <c r="C97" s="72"/>
      <c r="D97" s="1278"/>
      <c r="E97" s="92" t="s">
        <v>4018</v>
      </c>
      <c r="F97" s="92"/>
      <c r="G97" s="92"/>
      <c r="H97" s="92"/>
      <c r="I97" s="92" t="s">
        <v>4019</v>
      </c>
      <c r="J97" s="92" t="s">
        <v>2229</v>
      </c>
      <c r="K97" s="92">
        <v>1</v>
      </c>
      <c r="L97" s="1445">
        <v>0.09</v>
      </c>
      <c r="M97" s="92">
        <v>0</v>
      </c>
      <c r="N97" s="1445">
        <v>4.4999999999999998E-2</v>
      </c>
      <c r="O97" s="1445"/>
      <c r="P97" s="1778">
        <v>32894538</v>
      </c>
      <c r="Q97" s="1778">
        <v>47560058</v>
      </c>
      <c r="R97" s="1778">
        <v>28770500</v>
      </c>
      <c r="S97" s="1778">
        <v>2615500</v>
      </c>
      <c r="T97" s="75">
        <f t="shared" si="22"/>
        <v>0.60492987624195071</v>
      </c>
      <c r="U97" s="75">
        <f t="shared" si="22"/>
        <v>9.0909090909090912E-2</v>
      </c>
      <c r="V97" s="1460"/>
      <c r="W97" s="1460"/>
      <c r="X97" s="1462" t="s">
        <v>5600</v>
      </c>
      <c r="Y97" s="92" t="s">
        <v>84</v>
      </c>
    </row>
    <row r="98" spans="1:25">
      <c r="A98" s="73"/>
      <c r="B98" s="128">
        <v>54</v>
      </c>
      <c r="C98" s="72" t="s">
        <v>100</v>
      </c>
      <c r="D98" s="73" t="s">
        <v>4020</v>
      </c>
      <c r="E98" s="92"/>
      <c r="F98" s="92"/>
      <c r="G98" s="92"/>
      <c r="H98" s="92"/>
      <c r="I98" s="92"/>
      <c r="J98" s="92"/>
      <c r="K98" s="92"/>
      <c r="L98" s="1445"/>
      <c r="M98" s="92"/>
      <c r="N98" s="1445"/>
      <c r="O98" s="1445"/>
      <c r="P98" s="1778"/>
      <c r="Q98" s="1778"/>
      <c r="R98" s="1778"/>
      <c r="S98" s="1778"/>
      <c r="T98" s="75"/>
      <c r="U98" s="75"/>
      <c r="V98" s="1460"/>
      <c r="W98" s="1460"/>
      <c r="X98" s="110"/>
      <c r="Y98" s="92"/>
    </row>
    <row r="99" spans="1:25">
      <c r="A99" s="73"/>
      <c r="B99" s="72">
        <v>5402</v>
      </c>
      <c r="C99" s="72" t="s">
        <v>101</v>
      </c>
      <c r="D99" s="73" t="s">
        <v>104</v>
      </c>
      <c r="E99" s="92"/>
      <c r="F99" s="92"/>
      <c r="G99" s="92"/>
      <c r="H99" s="92"/>
      <c r="I99" s="92"/>
      <c r="J99" s="92"/>
      <c r="K99" s="92"/>
      <c r="L99" s="1445"/>
      <c r="M99" s="92"/>
      <c r="N99" s="1445"/>
      <c r="O99" s="1445"/>
      <c r="P99" s="1778"/>
      <c r="Q99" s="1778"/>
      <c r="R99" s="1778"/>
      <c r="S99" s="1778"/>
      <c r="T99" s="75"/>
      <c r="U99" s="75"/>
      <c r="V99" s="1460"/>
      <c r="W99" s="1460"/>
      <c r="X99" s="110"/>
      <c r="Y99" s="92"/>
    </row>
    <row r="100" spans="1:25">
      <c r="A100" s="73"/>
      <c r="B100" s="72">
        <v>5402001</v>
      </c>
      <c r="C100" s="72" t="s">
        <v>102</v>
      </c>
      <c r="D100" s="92" t="s">
        <v>4021</v>
      </c>
      <c r="E100" s="92"/>
      <c r="F100" s="92"/>
      <c r="G100" s="92"/>
      <c r="H100" s="92"/>
      <c r="I100" s="92"/>
      <c r="J100" s="92"/>
      <c r="K100" s="92"/>
      <c r="L100" s="1445"/>
      <c r="M100" s="92"/>
      <c r="N100" s="1445"/>
      <c r="O100" s="1445"/>
      <c r="P100" s="1778"/>
      <c r="Q100" s="1778"/>
      <c r="R100" s="1778"/>
      <c r="S100" s="1778"/>
      <c r="T100" s="75"/>
      <c r="U100" s="75"/>
      <c r="V100" s="1460"/>
      <c r="W100" s="1460"/>
      <c r="X100" s="110"/>
      <c r="Y100" s="92"/>
    </row>
    <row r="101" spans="1:25" ht="27">
      <c r="A101" s="73"/>
      <c r="B101" s="72">
        <v>54020010030</v>
      </c>
      <c r="C101" s="72" t="s">
        <v>103</v>
      </c>
      <c r="D101" s="92" t="s">
        <v>4022</v>
      </c>
      <c r="E101" s="92"/>
      <c r="F101" s="92">
        <v>1</v>
      </c>
      <c r="G101" s="92"/>
      <c r="H101" s="92">
        <f>H102</f>
        <v>1</v>
      </c>
      <c r="I101" s="92"/>
      <c r="J101" s="92"/>
      <c r="K101" s="92"/>
      <c r="L101" s="1445"/>
      <c r="M101" s="92"/>
      <c r="N101" s="1445"/>
      <c r="O101" s="1445"/>
      <c r="P101" s="1778"/>
      <c r="Q101" s="1778"/>
      <c r="R101" s="1778"/>
      <c r="S101" s="1778"/>
      <c r="T101" s="75"/>
      <c r="U101" s="75"/>
      <c r="V101" s="1460"/>
      <c r="W101" s="1460"/>
      <c r="X101" s="110"/>
      <c r="Y101" s="92"/>
    </row>
    <row r="102" spans="1:25" ht="27">
      <c r="A102" s="72">
        <v>4164</v>
      </c>
      <c r="B102" s="933"/>
      <c r="C102" s="72" t="s">
        <v>451</v>
      </c>
      <c r="D102" s="934" t="s">
        <v>4023</v>
      </c>
      <c r="E102" s="92" t="s">
        <v>4024</v>
      </c>
      <c r="F102" s="92"/>
      <c r="G102" s="92"/>
      <c r="H102" s="92">
        <v>1</v>
      </c>
      <c r="I102" s="92"/>
      <c r="J102" s="92"/>
      <c r="K102" s="92">
        <f>SUM(K103)</f>
        <v>1</v>
      </c>
      <c r="L102" s="1445">
        <f>L103+L104+L105</f>
        <v>1</v>
      </c>
      <c r="M102" s="92"/>
      <c r="N102" s="1445">
        <f>N103+N104</f>
        <v>0.47</v>
      </c>
      <c r="O102" s="1445">
        <f>IF(Q102&gt;0, N102,"na")</f>
        <v>0.47</v>
      </c>
      <c r="P102" s="1778">
        <v>1575713005</v>
      </c>
      <c r="Q102" s="1778">
        <v>1575713005</v>
      </c>
      <c r="R102" s="1778">
        <v>1181430500</v>
      </c>
      <c r="S102" s="1778">
        <v>656979500</v>
      </c>
      <c r="T102" s="75">
        <f t="shared" ref="T102:U104" si="23">IF(Q102=0,0,R102/Q102)</f>
        <v>0.7497751787610587</v>
      </c>
      <c r="U102" s="75">
        <f t="shared" si="23"/>
        <v>0.55608814907013149</v>
      </c>
      <c r="V102" s="1460">
        <v>44945</v>
      </c>
      <c r="W102" s="1784">
        <v>45291</v>
      </c>
      <c r="X102" s="110"/>
      <c r="Y102" s="92"/>
    </row>
    <row r="103" spans="1:25" ht="108">
      <c r="A103" s="72"/>
      <c r="B103" s="1295"/>
      <c r="C103" s="72"/>
      <c r="D103" s="1270"/>
      <c r="E103" s="92" t="s">
        <v>4025</v>
      </c>
      <c r="F103" s="92"/>
      <c r="G103" s="92" t="s">
        <v>4022</v>
      </c>
      <c r="H103" s="92">
        <v>1</v>
      </c>
      <c r="I103" s="92" t="s">
        <v>5601</v>
      </c>
      <c r="J103" s="92" t="s">
        <v>2428</v>
      </c>
      <c r="K103" s="92">
        <v>1</v>
      </c>
      <c r="L103" s="1445">
        <v>0.75</v>
      </c>
      <c r="M103" s="92">
        <v>0</v>
      </c>
      <c r="N103" s="1445">
        <v>0.38</v>
      </c>
      <c r="O103" s="1445"/>
      <c r="P103" s="1778">
        <v>1405507200</v>
      </c>
      <c r="Q103" s="1778">
        <v>1405507200</v>
      </c>
      <c r="R103" s="1778">
        <v>1115830500</v>
      </c>
      <c r="S103" s="1778">
        <v>617619500</v>
      </c>
      <c r="T103" s="75">
        <f t="shared" si="23"/>
        <v>0.79389881460585898</v>
      </c>
      <c r="U103" s="75">
        <f t="shared" si="23"/>
        <v>0.55350655856781117</v>
      </c>
      <c r="V103" s="1460"/>
      <c r="W103" s="1460"/>
      <c r="X103" s="1787" t="s">
        <v>5602</v>
      </c>
      <c r="Y103" s="92" t="s">
        <v>84</v>
      </c>
    </row>
    <row r="104" spans="1:25" ht="108">
      <c r="A104" s="72"/>
      <c r="B104" s="1295"/>
      <c r="C104" s="72"/>
      <c r="D104" s="1270"/>
      <c r="E104" s="92" t="s">
        <v>4026</v>
      </c>
      <c r="F104" s="92"/>
      <c r="G104" s="92"/>
      <c r="H104" s="92"/>
      <c r="I104" s="92" t="s">
        <v>5603</v>
      </c>
      <c r="J104" s="92" t="s">
        <v>1593</v>
      </c>
      <c r="K104" s="92">
        <v>150</v>
      </c>
      <c r="L104" s="1445">
        <v>0.25</v>
      </c>
      <c r="M104" s="92">
        <v>37</v>
      </c>
      <c r="N104" s="1445">
        <v>0.09</v>
      </c>
      <c r="O104" s="1445"/>
      <c r="P104" s="1778">
        <v>170205805</v>
      </c>
      <c r="Q104" s="1778">
        <v>170205805</v>
      </c>
      <c r="R104" s="1778">
        <v>65600000</v>
      </c>
      <c r="S104" s="1778">
        <v>39360000</v>
      </c>
      <c r="T104" s="75">
        <f t="shared" si="23"/>
        <v>0.38541576181846443</v>
      </c>
      <c r="U104" s="75">
        <f t="shared" si="23"/>
        <v>0.6</v>
      </c>
      <c r="V104" s="1460"/>
      <c r="W104" s="1460"/>
      <c r="X104" s="1462" t="s">
        <v>5604</v>
      </c>
      <c r="Y104" s="92" t="s">
        <v>84</v>
      </c>
    </row>
    <row r="105" spans="1:25">
      <c r="A105" s="73"/>
      <c r="B105" s="72">
        <v>5402002</v>
      </c>
      <c r="C105" s="72" t="s">
        <v>102</v>
      </c>
      <c r="D105" s="92" t="s">
        <v>527</v>
      </c>
      <c r="E105" s="92"/>
      <c r="F105" s="92"/>
      <c r="G105" s="92"/>
      <c r="H105" s="92"/>
      <c r="I105" s="92"/>
      <c r="J105" s="92"/>
      <c r="K105" s="92"/>
      <c r="L105" s="1445"/>
      <c r="M105" s="92"/>
      <c r="N105" s="1445"/>
      <c r="O105" s="1445"/>
      <c r="P105" s="1778"/>
      <c r="Q105" s="1778"/>
      <c r="R105" s="1778"/>
      <c r="S105" s="1778"/>
      <c r="T105" s="75"/>
      <c r="U105" s="75"/>
      <c r="V105" s="1460"/>
      <c r="W105" s="1460"/>
      <c r="X105" s="110"/>
      <c r="Y105" s="92"/>
    </row>
    <row r="106" spans="1:25" ht="40.5">
      <c r="A106" s="72"/>
      <c r="B106" s="72">
        <v>54020020024</v>
      </c>
      <c r="C106" s="72" t="s">
        <v>103</v>
      </c>
      <c r="D106" s="92" t="s">
        <v>4027</v>
      </c>
      <c r="E106" s="92"/>
      <c r="F106" s="92">
        <v>1</v>
      </c>
      <c r="G106" s="92"/>
      <c r="H106" s="92">
        <f>H107</f>
        <v>1</v>
      </c>
      <c r="I106" s="92"/>
      <c r="J106" s="92"/>
      <c r="K106" s="92"/>
      <c r="L106" s="1445"/>
      <c r="M106" s="92"/>
      <c r="N106" s="1445"/>
      <c r="O106" s="1445"/>
      <c r="P106" s="1778"/>
      <c r="Q106" s="1778"/>
      <c r="R106" s="1778"/>
      <c r="S106" s="1778"/>
      <c r="T106" s="75"/>
      <c r="U106" s="75"/>
      <c r="V106" s="1460"/>
      <c r="W106" s="1460"/>
      <c r="X106" s="110"/>
      <c r="Y106" s="92"/>
    </row>
    <row r="107" spans="1:25" ht="27">
      <c r="A107" s="72">
        <v>4164</v>
      </c>
      <c r="B107" s="933"/>
      <c r="C107" s="72" t="s">
        <v>451</v>
      </c>
      <c r="D107" s="934" t="s">
        <v>4028</v>
      </c>
      <c r="E107" s="92" t="s">
        <v>4029</v>
      </c>
      <c r="F107" s="92"/>
      <c r="G107" s="92"/>
      <c r="H107" s="92">
        <v>1</v>
      </c>
      <c r="I107" s="92"/>
      <c r="J107" s="92"/>
      <c r="K107" s="92">
        <f>+K108</f>
        <v>1</v>
      </c>
      <c r="L107" s="1445">
        <f>L108+L109+L110</f>
        <v>1</v>
      </c>
      <c r="M107" s="92"/>
      <c r="N107" s="1445">
        <f>N108+N109</f>
        <v>0.80999999999999994</v>
      </c>
      <c r="O107" s="1445">
        <f>IF(Q107&gt;0, N107,"na")</f>
        <v>0.80999999999999994</v>
      </c>
      <c r="P107" s="1778">
        <v>226607999</v>
      </c>
      <c r="Q107" s="1778">
        <v>424385099</v>
      </c>
      <c r="R107" s="1778">
        <v>183511000</v>
      </c>
      <c r="S107" s="1778">
        <v>63357000</v>
      </c>
      <c r="T107" s="75">
        <f t="shared" ref="T107:U109" si="24">IF(Q107=0,0,R107/Q107)</f>
        <v>0.432416219213201</v>
      </c>
      <c r="U107" s="75">
        <f t="shared" si="24"/>
        <v>0.34524905863953659</v>
      </c>
      <c r="V107" s="1460">
        <v>44944</v>
      </c>
      <c r="W107" s="1784">
        <v>45291</v>
      </c>
      <c r="X107" s="110"/>
      <c r="Y107" s="92"/>
    </row>
    <row r="108" spans="1:25" ht="135">
      <c r="A108" s="72"/>
      <c r="B108" s="1295"/>
      <c r="C108" s="72"/>
      <c r="D108" s="1270"/>
      <c r="E108" s="92" t="s">
        <v>4030</v>
      </c>
      <c r="F108" s="92"/>
      <c r="G108" s="92" t="s">
        <v>4027</v>
      </c>
      <c r="H108" s="92">
        <v>1</v>
      </c>
      <c r="I108" s="92" t="s">
        <v>5605</v>
      </c>
      <c r="J108" s="92" t="s">
        <v>4031</v>
      </c>
      <c r="K108" s="92">
        <v>1</v>
      </c>
      <c r="L108" s="1445">
        <v>0.4</v>
      </c>
      <c r="M108" s="92">
        <v>1</v>
      </c>
      <c r="N108" s="1445">
        <v>0.21</v>
      </c>
      <c r="O108" s="1445"/>
      <c r="P108" s="1778">
        <v>109153680</v>
      </c>
      <c r="Q108" s="1778">
        <v>250439500</v>
      </c>
      <c r="R108" s="1778">
        <v>157356000</v>
      </c>
      <c r="S108" s="1778">
        <v>63357000</v>
      </c>
      <c r="T108" s="75">
        <f t="shared" si="24"/>
        <v>0.6283194144693629</v>
      </c>
      <c r="U108" s="75">
        <f t="shared" si="24"/>
        <v>0.40263478990314955</v>
      </c>
      <c r="V108" s="1460"/>
      <c r="W108" s="1460"/>
      <c r="X108" s="110" t="s">
        <v>5606</v>
      </c>
      <c r="Y108" s="92" t="s">
        <v>84</v>
      </c>
    </row>
    <row r="109" spans="1:25" ht="81">
      <c r="A109" s="72"/>
      <c r="B109" s="1286"/>
      <c r="C109" s="72"/>
      <c r="D109" s="1280"/>
      <c r="E109" s="92" t="s">
        <v>4032</v>
      </c>
      <c r="F109" s="92"/>
      <c r="G109" s="92"/>
      <c r="H109" s="92"/>
      <c r="I109" s="92" t="s">
        <v>4033</v>
      </c>
      <c r="J109" s="92" t="s">
        <v>246</v>
      </c>
      <c r="K109" s="92">
        <v>1</v>
      </c>
      <c r="L109" s="1445">
        <v>0.6</v>
      </c>
      <c r="M109" s="92">
        <v>1</v>
      </c>
      <c r="N109" s="1445">
        <v>0.6</v>
      </c>
      <c r="O109" s="1445"/>
      <c r="P109" s="1778">
        <v>117454319</v>
      </c>
      <c r="Q109" s="1778">
        <v>173945599</v>
      </c>
      <c r="R109" s="1778">
        <v>26155000</v>
      </c>
      <c r="S109" s="1778">
        <v>0</v>
      </c>
      <c r="T109" s="75">
        <f t="shared" si="24"/>
        <v>0.1503631028917265</v>
      </c>
      <c r="U109" s="75">
        <f t="shared" si="24"/>
        <v>0</v>
      </c>
      <c r="V109" s="1460"/>
      <c r="W109" s="1460"/>
      <c r="X109" s="1462" t="s">
        <v>5607</v>
      </c>
      <c r="Y109" s="92" t="s">
        <v>84</v>
      </c>
    </row>
    <row r="110" spans="1:25">
      <c r="A110" s="73"/>
      <c r="B110" s="72">
        <v>5403</v>
      </c>
      <c r="C110" s="72" t="s">
        <v>101</v>
      </c>
      <c r="D110" s="73" t="s">
        <v>4034</v>
      </c>
      <c r="E110" s="92"/>
      <c r="F110" s="92"/>
      <c r="G110" s="92"/>
      <c r="H110" s="92"/>
      <c r="I110" s="92"/>
      <c r="J110" s="92"/>
      <c r="K110" s="92"/>
      <c r="L110" s="1445"/>
      <c r="M110" s="92"/>
      <c r="N110" s="1445"/>
      <c r="O110" s="1445"/>
      <c r="P110" s="1778"/>
      <c r="Q110" s="1778"/>
      <c r="R110" s="1778"/>
      <c r="S110" s="1778"/>
      <c r="T110" s="75"/>
      <c r="U110" s="75"/>
      <c r="V110" s="1460"/>
      <c r="W110" s="1460"/>
      <c r="X110" s="110"/>
      <c r="Y110" s="92"/>
    </row>
    <row r="111" spans="1:25">
      <c r="A111" s="73"/>
      <c r="B111" s="72">
        <v>5403002</v>
      </c>
      <c r="C111" s="72" t="s">
        <v>102</v>
      </c>
      <c r="D111" s="73" t="s">
        <v>493</v>
      </c>
      <c r="E111" s="92"/>
      <c r="F111" s="92"/>
      <c r="G111" s="92"/>
      <c r="H111" s="92"/>
      <c r="I111" s="92"/>
      <c r="J111" s="92"/>
      <c r="K111" s="92"/>
      <c r="L111" s="1445"/>
      <c r="M111" s="92"/>
      <c r="N111" s="1445"/>
      <c r="O111" s="1445"/>
      <c r="P111" s="1778"/>
      <c r="Q111" s="1778"/>
      <c r="R111" s="1778"/>
      <c r="S111" s="1778"/>
      <c r="T111" s="75"/>
      <c r="U111" s="75"/>
      <c r="V111" s="1460"/>
      <c r="W111" s="1460"/>
      <c r="X111" s="110"/>
      <c r="Y111" s="92"/>
    </row>
    <row r="112" spans="1:25">
      <c r="A112" s="72"/>
      <c r="B112" s="72">
        <v>54030020001</v>
      </c>
      <c r="C112" s="72" t="s">
        <v>103</v>
      </c>
      <c r="D112" s="92" t="s">
        <v>4035</v>
      </c>
      <c r="E112" s="92"/>
      <c r="F112" s="92">
        <v>1</v>
      </c>
      <c r="G112" s="92"/>
      <c r="H112" s="92">
        <f>H113</f>
        <v>1</v>
      </c>
      <c r="I112" s="92"/>
      <c r="J112" s="92"/>
      <c r="K112" s="92"/>
      <c r="L112" s="1445"/>
      <c r="M112" s="92"/>
      <c r="N112" s="1445"/>
      <c r="O112" s="1445"/>
      <c r="P112" s="1778"/>
      <c r="Q112" s="1778"/>
      <c r="R112" s="1778"/>
      <c r="S112" s="1778"/>
      <c r="T112" s="75"/>
      <c r="U112" s="75"/>
      <c r="V112" s="1460"/>
      <c r="W112" s="1460"/>
      <c r="X112" s="110"/>
      <c r="Y112" s="92"/>
    </row>
    <row r="113" spans="1:25" ht="27">
      <c r="A113" s="72">
        <v>4164</v>
      </c>
      <c r="B113" s="933"/>
      <c r="C113" s="72" t="s">
        <v>451</v>
      </c>
      <c r="D113" s="934" t="s">
        <v>4036</v>
      </c>
      <c r="E113" s="92" t="s">
        <v>4037</v>
      </c>
      <c r="F113" s="92"/>
      <c r="G113" s="92"/>
      <c r="H113" s="92">
        <v>1</v>
      </c>
      <c r="I113" s="92"/>
      <c r="J113" s="92"/>
      <c r="K113" s="92">
        <f>+K114</f>
        <v>1</v>
      </c>
      <c r="L113" s="1445">
        <f>L114+L115+L116</f>
        <v>1</v>
      </c>
      <c r="M113" s="92"/>
      <c r="N113" s="1445">
        <f>N114+N115</f>
        <v>0.4</v>
      </c>
      <c r="O113" s="1445">
        <f>IF(Q113&gt;0, N113,"na")</f>
        <v>0.4</v>
      </c>
      <c r="P113" s="1778">
        <v>103142194</v>
      </c>
      <c r="Q113" s="1778">
        <v>103142194</v>
      </c>
      <c r="R113" s="1778">
        <v>80679000</v>
      </c>
      <c r="S113" s="1778">
        <v>19894000</v>
      </c>
      <c r="T113" s="75">
        <f t="shared" ref="T113:U115" si="25">IF(Q113=0,0,R113/Q113)</f>
        <v>0.78221140031207792</v>
      </c>
      <c r="U113" s="75">
        <f t="shared" si="25"/>
        <v>0.24658213413651631</v>
      </c>
      <c r="V113" s="1460">
        <v>44942</v>
      </c>
      <c r="W113" s="1784">
        <v>45291</v>
      </c>
      <c r="X113" s="110"/>
      <c r="Y113" s="92"/>
    </row>
    <row r="114" spans="1:25" ht="94.5">
      <c r="A114" s="72"/>
      <c r="B114" s="1295"/>
      <c r="C114" s="72"/>
      <c r="D114" s="1270"/>
      <c r="E114" s="92" t="s">
        <v>4038</v>
      </c>
      <c r="F114" s="92"/>
      <c r="G114" s="92" t="s">
        <v>5608</v>
      </c>
      <c r="H114" s="92">
        <v>1</v>
      </c>
      <c r="I114" s="92" t="s">
        <v>4039</v>
      </c>
      <c r="J114" s="92" t="s">
        <v>3977</v>
      </c>
      <c r="K114" s="92">
        <v>1</v>
      </c>
      <c r="L114" s="1445">
        <v>0.55000000000000004</v>
      </c>
      <c r="M114" s="92">
        <v>0</v>
      </c>
      <c r="N114" s="1445">
        <v>0.3</v>
      </c>
      <c r="O114" s="1445"/>
      <c r="P114" s="1778">
        <v>56718200</v>
      </c>
      <c r="Q114" s="1778">
        <v>67473000</v>
      </c>
      <c r="R114" s="1778">
        <v>63873000</v>
      </c>
      <c r="S114" s="1778">
        <v>19894000</v>
      </c>
      <c r="T114" s="75">
        <f t="shared" si="25"/>
        <v>0.94664532479658525</v>
      </c>
      <c r="U114" s="75">
        <f t="shared" si="25"/>
        <v>0.31146180702331189</v>
      </c>
      <c r="V114" s="1460"/>
      <c r="W114" s="1460"/>
      <c r="X114" s="1462" t="s">
        <v>5609</v>
      </c>
      <c r="Y114" s="92" t="s">
        <v>84</v>
      </c>
    </row>
    <row r="115" spans="1:25" ht="54">
      <c r="A115" s="72"/>
      <c r="B115" s="1286"/>
      <c r="C115" s="72"/>
      <c r="D115" s="1280"/>
      <c r="E115" s="92" t="s">
        <v>4040</v>
      </c>
      <c r="F115" s="92"/>
      <c r="G115" s="92"/>
      <c r="H115" s="92"/>
      <c r="I115" s="92" t="s">
        <v>5610</v>
      </c>
      <c r="J115" s="92" t="s">
        <v>2229</v>
      </c>
      <c r="K115" s="92">
        <v>10</v>
      </c>
      <c r="L115" s="1445">
        <v>0.45</v>
      </c>
      <c r="M115" s="92">
        <v>1</v>
      </c>
      <c r="N115" s="1445">
        <v>0.1</v>
      </c>
      <c r="O115" s="1445"/>
      <c r="P115" s="1778">
        <v>46423994</v>
      </c>
      <c r="Q115" s="1778">
        <v>35669194</v>
      </c>
      <c r="R115" s="1778">
        <v>16806000</v>
      </c>
      <c r="S115" s="1778">
        <v>0</v>
      </c>
      <c r="T115" s="75">
        <f t="shared" si="25"/>
        <v>0.47116287516897637</v>
      </c>
      <c r="U115" s="75">
        <f t="shared" si="25"/>
        <v>0</v>
      </c>
      <c r="V115" s="1460"/>
      <c r="W115" s="1460"/>
      <c r="X115" s="1462" t="s">
        <v>5611</v>
      </c>
      <c r="Y115" s="92" t="s">
        <v>84</v>
      </c>
    </row>
    <row r="116" spans="1:25">
      <c r="A116" s="73"/>
      <c r="B116" s="72">
        <v>54030020003</v>
      </c>
      <c r="C116" s="72" t="s">
        <v>103</v>
      </c>
      <c r="D116" s="92" t="s">
        <v>4041</v>
      </c>
      <c r="E116" s="92"/>
      <c r="F116" s="92">
        <v>2100</v>
      </c>
      <c r="G116" s="92"/>
      <c r="H116" s="92">
        <f>H117+H122</f>
        <v>2100</v>
      </c>
      <c r="I116" s="92"/>
      <c r="J116" s="92"/>
      <c r="K116" s="92"/>
      <c r="L116" s="1445"/>
      <c r="M116" s="92"/>
      <c r="N116" s="1445"/>
      <c r="O116" s="1445"/>
      <c r="P116" s="1778"/>
      <c r="Q116" s="1778"/>
      <c r="R116" s="1778"/>
      <c r="S116" s="1778"/>
      <c r="T116" s="75"/>
      <c r="U116" s="75"/>
      <c r="V116" s="1460"/>
      <c r="W116" s="1460"/>
      <c r="X116" s="110"/>
      <c r="Y116" s="92"/>
    </row>
    <row r="117" spans="1:25" ht="27">
      <c r="A117" s="72">
        <v>4164</v>
      </c>
      <c r="B117" s="933"/>
      <c r="C117" s="72" t="s">
        <v>451</v>
      </c>
      <c r="D117" s="934" t="s">
        <v>4042</v>
      </c>
      <c r="E117" s="92" t="s">
        <v>4043</v>
      </c>
      <c r="F117" s="92"/>
      <c r="G117" s="92"/>
      <c r="H117" s="92">
        <v>300</v>
      </c>
      <c r="I117" s="92"/>
      <c r="J117" s="92"/>
      <c r="K117" s="92">
        <f>SUM(K119)</f>
        <v>500</v>
      </c>
      <c r="L117" s="1445">
        <f>L118+L119+L120+L121</f>
        <v>1</v>
      </c>
      <c r="M117" s="92"/>
      <c r="N117" s="1445">
        <f>N118+N119+N120+N121</f>
        <v>0.61</v>
      </c>
      <c r="O117" s="1445">
        <f>IF(Q117&gt;0, N117,"na")</f>
        <v>0.61</v>
      </c>
      <c r="P117" s="1778">
        <v>464666518</v>
      </c>
      <c r="Q117" s="1778">
        <v>983340821</v>
      </c>
      <c r="R117" s="1778">
        <v>504019000</v>
      </c>
      <c r="S117" s="1778">
        <v>242511000</v>
      </c>
      <c r="T117" s="75">
        <f t="shared" ref="T117:U124" si="26">IF(Q117=0,0,R117/Q117)</f>
        <v>0.51255779200485363</v>
      </c>
      <c r="U117" s="75">
        <f t="shared" si="26"/>
        <v>0.4811544802874495</v>
      </c>
      <c r="V117" s="1460">
        <v>44944</v>
      </c>
      <c r="W117" s="1784">
        <v>45291</v>
      </c>
      <c r="X117" s="110"/>
      <c r="Y117" s="92"/>
    </row>
    <row r="118" spans="1:25" ht="67.5">
      <c r="A118" s="72"/>
      <c r="B118" s="1295"/>
      <c r="C118" s="72"/>
      <c r="D118" s="1270"/>
      <c r="E118" s="92" t="s">
        <v>4044</v>
      </c>
      <c r="F118" s="92"/>
      <c r="G118" s="92"/>
      <c r="H118" s="92"/>
      <c r="I118" s="92" t="s">
        <v>4045</v>
      </c>
      <c r="J118" s="92" t="s">
        <v>1966</v>
      </c>
      <c r="K118" s="92">
        <v>100</v>
      </c>
      <c r="L118" s="1445">
        <v>0.43</v>
      </c>
      <c r="M118" s="92">
        <v>96</v>
      </c>
      <c r="N118" s="1445">
        <v>0.39</v>
      </c>
      <c r="O118" s="1445"/>
      <c r="P118" s="1778">
        <v>199375040</v>
      </c>
      <c r="Q118" s="1778">
        <v>379911040</v>
      </c>
      <c r="R118" s="1778">
        <v>243173000</v>
      </c>
      <c r="S118" s="1778">
        <v>97511000</v>
      </c>
      <c r="T118" s="75">
        <f t="shared" si="26"/>
        <v>0.64007879318274086</v>
      </c>
      <c r="U118" s="75">
        <f t="shared" si="26"/>
        <v>0.40099435381395138</v>
      </c>
      <c r="V118" s="1460"/>
      <c r="W118" s="1460"/>
      <c r="X118" s="110" t="s">
        <v>5612</v>
      </c>
      <c r="Y118" s="92" t="s">
        <v>84</v>
      </c>
    </row>
    <row r="119" spans="1:25" ht="94.5">
      <c r="A119" s="72"/>
      <c r="B119" s="1295"/>
      <c r="C119" s="72"/>
      <c r="D119" s="1270"/>
      <c r="E119" s="92" t="s">
        <v>4046</v>
      </c>
      <c r="F119" s="92"/>
      <c r="G119" s="92"/>
      <c r="H119" s="92"/>
      <c r="I119" s="92" t="s">
        <v>4047</v>
      </c>
      <c r="J119" s="92" t="s">
        <v>2118</v>
      </c>
      <c r="K119" s="92">
        <v>500</v>
      </c>
      <c r="L119" s="1445">
        <v>0.18</v>
      </c>
      <c r="M119" s="92">
        <v>271</v>
      </c>
      <c r="N119" s="1445">
        <v>0.09</v>
      </c>
      <c r="O119" s="1445"/>
      <c r="P119" s="1778">
        <v>81647760</v>
      </c>
      <c r="Q119" s="1778">
        <v>195876500</v>
      </c>
      <c r="R119" s="1778">
        <v>87113000</v>
      </c>
      <c r="S119" s="1778">
        <v>48437000</v>
      </c>
      <c r="T119" s="75">
        <f t="shared" si="26"/>
        <v>0.4447343096287712</v>
      </c>
      <c r="U119" s="75">
        <f t="shared" si="26"/>
        <v>0.55602493313282753</v>
      </c>
      <c r="V119" s="1460"/>
      <c r="W119" s="1460"/>
      <c r="X119" s="180" t="s">
        <v>5613</v>
      </c>
      <c r="Y119" s="92" t="s">
        <v>84</v>
      </c>
    </row>
    <row r="120" spans="1:25" ht="81">
      <c r="A120" s="72"/>
      <c r="B120" s="1295"/>
      <c r="C120" s="72"/>
      <c r="D120" s="1270"/>
      <c r="E120" s="92" t="s">
        <v>4048</v>
      </c>
      <c r="F120" s="92"/>
      <c r="G120" s="92" t="s">
        <v>5614</v>
      </c>
      <c r="H120" s="92">
        <v>300</v>
      </c>
      <c r="I120" s="92" t="s">
        <v>4049</v>
      </c>
      <c r="J120" s="92" t="s">
        <v>106</v>
      </c>
      <c r="K120" s="92">
        <v>300</v>
      </c>
      <c r="L120" s="1445">
        <v>0.12</v>
      </c>
      <c r="M120" s="92">
        <v>236</v>
      </c>
      <c r="N120" s="1445">
        <v>0.08</v>
      </c>
      <c r="O120" s="1445"/>
      <c r="P120" s="1778">
        <v>54087740</v>
      </c>
      <c r="Q120" s="1778">
        <v>165066481</v>
      </c>
      <c r="R120" s="1778">
        <v>97151000</v>
      </c>
      <c r="S120" s="1778">
        <v>48527000</v>
      </c>
      <c r="T120" s="75">
        <f t="shared" si="26"/>
        <v>0.5885568009413128</v>
      </c>
      <c r="U120" s="75">
        <f t="shared" si="26"/>
        <v>0.49950077714073965</v>
      </c>
      <c r="V120" s="1460"/>
      <c r="W120" s="1460"/>
      <c r="X120" s="110" t="s">
        <v>5615</v>
      </c>
      <c r="Y120" s="92" t="s">
        <v>84</v>
      </c>
    </row>
    <row r="121" spans="1:25" ht="108">
      <c r="A121" s="72"/>
      <c r="B121" s="1286"/>
      <c r="C121" s="72"/>
      <c r="D121" s="1280"/>
      <c r="E121" s="92" t="s">
        <v>4050</v>
      </c>
      <c r="F121" s="92"/>
      <c r="G121" s="92"/>
      <c r="H121" s="92"/>
      <c r="I121" s="92" t="s">
        <v>4051</v>
      </c>
      <c r="J121" s="92" t="s">
        <v>2121</v>
      </c>
      <c r="K121" s="92">
        <v>5</v>
      </c>
      <c r="L121" s="1445">
        <v>0.27</v>
      </c>
      <c r="M121" s="92">
        <v>1</v>
      </c>
      <c r="N121" s="1445">
        <v>0.05</v>
      </c>
      <c r="O121" s="1445"/>
      <c r="P121" s="1778">
        <v>129555978</v>
      </c>
      <c r="Q121" s="1778">
        <v>242486800</v>
      </c>
      <c r="R121" s="1778">
        <v>76582000</v>
      </c>
      <c r="S121" s="1778">
        <v>48036000</v>
      </c>
      <c r="T121" s="75">
        <f t="shared" si="26"/>
        <v>0.31581925284180418</v>
      </c>
      <c r="U121" s="75">
        <f t="shared" si="26"/>
        <v>0.62724922305502595</v>
      </c>
      <c r="V121" s="1460"/>
      <c r="W121" s="1460"/>
      <c r="X121" s="110" t="s">
        <v>5616</v>
      </c>
      <c r="Y121" s="92" t="s">
        <v>84</v>
      </c>
    </row>
    <row r="122" spans="1:25">
      <c r="A122" s="72">
        <v>4164</v>
      </c>
      <c r="B122" s="933"/>
      <c r="C122" s="933" t="s">
        <v>451</v>
      </c>
      <c r="D122" s="934" t="s">
        <v>4052</v>
      </c>
      <c r="E122" s="92" t="s">
        <v>4053</v>
      </c>
      <c r="F122" s="92"/>
      <c r="G122" s="92"/>
      <c r="H122" s="92">
        <v>1800</v>
      </c>
      <c r="I122" s="92"/>
      <c r="J122" s="92"/>
      <c r="K122" s="92">
        <f>+K123</f>
        <v>1800</v>
      </c>
      <c r="L122" s="1445">
        <f>L123+L124+L125</f>
        <v>1</v>
      </c>
      <c r="M122" s="92"/>
      <c r="N122" s="1445">
        <f>N123+N124</f>
        <v>0.2961111111111111</v>
      </c>
      <c r="O122" s="1445">
        <f>IF(Q122&gt;0, N122,"na")</f>
        <v>0.2961111111111111</v>
      </c>
      <c r="P122" s="1778">
        <v>572353106</v>
      </c>
      <c r="Q122" s="1778">
        <v>1014587186</v>
      </c>
      <c r="R122" s="1778">
        <v>483947000</v>
      </c>
      <c r="S122" s="1778">
        <v>223975000</v>
      </c>
      <c r="T122" s="75">
        <f t="shared" si="26"/>
        <v>0.47698907169127208</v>
      </c>
      <c r="U122" s="75">
        <f t="shared" si="26"/>
        <v>0.46280894395460659</v>
      </c>
      <c r="V122" s="1460">
        <v>44942</v>
      </c>
      <c r="W122" s="1784">
        <v>45291</v>
      </c>
      <c r="X122" s="110"/>
      <c r="Y122" s="92"/>
    </row>
    <row r="123" spans="1:25" ht="108">
      <c r="A123" s="72"/>
      <c r="B123" s="1295"/>
      <c r="C123" s="1295"/>
      <c r="D123" s="1270"/>
      <c r="E123" s="92" t="s">
        <v>4054</v>
      </c>
      <c r="F123" s="92"/>
      <c r="G123" s="92" t="s">
        <v>4052</v>
      </c>
      <c r="H123" s="92">
        <v>1800</v>
      </c>
      <c r="I123" s="92" t="s">
        <v>4055</v>
      </c>
      <c r="J123" s="92" t="s">
        <v>106</v>
      </c>
      <c r="K123" s="92">
        <v>1800</v>
      </c>
      <c r="L123" s="1445">
        <v>0.89</v>
      </c>
      <c r="M123" s="92">
        <v>479</v>
      </c>
      <c r="N123" s="1445">
        <v>0.26611111111111113</v>
      </c>
      <c r="O123" s="1445"/>
      <c r="P123" s="1778">
        <v>510571560</v>
      </c>
      <c r="Q123" s="1778">
        <v>894185560</v>
      </c>
      <c r="R123" s="1778">
        <v>440043320</v>
      </c>
      <c r="S123" s="1778">
        <v>203621000</v>
      </c>
      <c r="T123" s="75">
        <f t="shared" si="26"/>
        <v>0.49211633433221624</v>
      </c>
      <c r="U123" s="75">
        <f t="shared" si="26"/>
        <v>0.46272944218310141</v>
      </c>
      <c r="V123" s="1460"/>
      <c r="W123" s="1460"/>
      <c r="X123" s="1462" t="s">
        <v>5617</v>
      </c>
      <c r="Y123" s="92" t="s">
        <v>84</v>
      </c>
    </row>
    <row r="124" spans="1:25" ht="94.5">
      <c r="A124" s="72"/>
      <c r="B124" s="1286"/>
      <c r="C124" s="1286"/>
      <c r="D124" s="1280"/>
      <c r="E124" s="92" t="s">
        <v>4056</v>
      </c>
      <c r="F124" s="92"/>
      <c r="G124" s="92"/>
      <c r="H124" s="92"/>
      <c r="I124" s="92" t="s">
        <v>4057</v>
      </c>
      <c r="J124" s="92" t="s">
        <v>3310</v>
      </c>
      <c r="K124" s="92">
        <v>11</v>
      </c>
      <c r="L124" s="1445">
        <v>0.11</v>
      </c>
      <c r="M124" s="92">
        <v>0</v>
      </c>
      <c r="N124" s="1445">
        <v>0.03</v>
      </c>
      <c r="O124" s="1445"/>
      <c r="P124" s="1778">
        <v>61781546</v>
      </c>
      <c r="Q124" s="1778">
        <v>120401626</v>
      </c>
      <c r="R124" s="1778">
        <v>43903680</v>
      </c>
      <c r="S124" s="1778">
        <v>20354000</v>
      </c>
      <c r="T124" s="75">
        <f t="shared" si="26"/>
        <v>0.36464358047789153</v>
      </c>
      <c r="U124" s="75">
        <f t="shared" si="26"/>
        <v>0.4636057842987194</v>
      </c>
      <c r="V124" s="1460"/>
      <c r="W124" s="1460"/>
      <c r="X124" s="1462" t="s">
        <v>5618</v>
      </c>
      <c r="Y124" s="92" t="s">
        <v>84</v>
      </c>
    </row>
    <row r="125" spans="1:25" ht="27">
      <c r="A125" s="72"/>
      <c r="B125" s="72">
        <v>54030020004</v>
      </c>
      <c r="C125" s="72" t="s">
        <v>103</v>
      </c>
      <c r="D125" s="92" t="s">
        <v>4058</v>
      </c>
      <c r="E125" s="92"/>
      <c r="F125" s="92">
        <v>26</v>
      </c>
      <c r="G125" s="92"/>
      <c r="H125" s="92">
        <f>H126+H129</f>
        <v>26</v>
      </c>
      <c r="I125" s="92"/>
      <c r="J125" s="92"/>
      <c r="K125" s="92"/>
      <c r="L125" s="1445"/>
      <c r="M125" s="92"/>
      <c r="N125" s="1445"/>
      <c r="O125" s="1445"/>
      <c r="P125" s="1778"/>
      <c r="Q125" s="1778"/>
      <c r="R125" s="1778"/>
      <c r="S125" s="1778"/>
      <c r="T125" s="75"/>
      <c r="U125" s="75"/>
      <c r="V125" s="1460"/>
      <c r="W125" s="1460"/>
      <c r="X125" s="110"/>
      <c r="Y125" s="92"/>
    </row>
    <row r="126" spans="1:25" ht="27">
      <c r="A126" s="128">
        <v>4164</v>
      </c>
      <c r="B126" s="933"/>
      <c r="C126" s="128" t="s">
        <v>451</v>
      </c>
      <c r="D126" s="934" t="s">
        <v>4059</v>
      </c>
      <c r="E126" s="92" t="s">
        <v>4060</v>
      </c>
      <c r="F126" s="92"/>
      <c r="G126" s="92"/>
      <c r="H126" s="92">
        <v>8</v>
      </c>
      <c r="I126" s="92"/>
      <c r="J126" s="92"/>
      <c r="K126" s="92">
        <f>+K128</f>
        <v>8</v>
      </c>
      <c r="L126" s="1445">
        <f>L127+L128</f>
        <v>1</v>
      </c>
      <c r="M126" s="92"/>
      <c r="N126" s="1445">
        <f>N127+N128</f>
        <v>0.45</v>
      </c>
      <c r="O126" s="1445">
        <f>IF(Q126&gt;0, N126,"na")</f>
        <v>0.45</v>
      </c>
      <c r="P126" s="1778">
        <v>234965340</v>
      </c>
      <c r="Q126" s="1778">
        <v>571980660</v>
      </c>
      <c r="R126" s="1778">
        <v>284593000</v>
      </c>
      <c r="S126" s="1778">
        <v>80743000</v>
      </c>
      <c r="T126" s="75">
        <f t="shared" ref="T126:U132" si="27">IF(Q126=0,0,R126/Q126)</f>
        <v>0.49755703278498964</v>
      </c>
      <c r="U126" s="75">
        <f t="shared" si="27"/>
        <v>0.28371393533923883</v>
      </c>
      <c r="V126" s="1460">
        <v>44944</v>
      </c>
      <c r="W126" s="1784">
        <v>45291</v>
      </c>
      <c r="X126" s="110"/>
      <c r="Y126" s="92"/>
    </row>
    <row r="127" spans="1:25" ht="81">
      <c r="A127" s="128"/>
      <c r="B127" s="1295"/>
      <c r="C127" s="128"/>
      <c r="D127" s="934" t="s">
        <v>4059</v>
      </c>
      <c r="E127" s="92" t="s">
        <v>4061</v>
      </c>
      <c r="F127" s="92"/>
      <c r="G127" s="92"/>
      <c r="H127" s="92"/>
      <c r="I127" s="92" t="s">
        <v>4062</v>
      </c>
      <c r="J127" s="92" t="s">
        <v>498</v>
      </c>
      <c r="K127" s="92">
        <v>1</v>
      </c>
      <c r="L127" s="1445">
        <v>0.87</v>
      </c>
      <c r="M127" s="92">
        <v>0</v>
      </c>
      <c r="N127" s="1445">
        <v>0.4</v>
      </c>
      <c r="O127" s="1445"/>
      <c r="P127" s="1778">
        <v>203590855</v>
      </c>
      <c r="Q127" s="1778">
        <v>387654840</v>
      </c>
      <c r="R127" s="1778">
        <v>271473000</v>
      </c>
      <c r="S127" s="1778">
        <v>80743000</v>
      </c>
      <c r="T127" s="75">
        <f t="shared" si="27"/>
        <v>0.70029565476339728</v>
      </c>
      <c r="U127" s="75">
        <f t="shared" si="27"/>
        <v>0.29742552666379346</v>
      </c>
      <c r="V127" s="1460"/>
      <c r="W127" s="1460"/>
      <c r="X127" s="1462" t="s">
        <v>5619</v>
      </c>
      <c r="Y127" s="92" t="s">
        <v>84</v>
      </c>
    </row>
    <row r="128" spans="1:25" ht="94.5">
      <c r="A128" s="128"/>
      <c r="B128" s="1286"/>
      <c r="C128" s="128"/>
      <c r="D128" s="1280"/>
      <c r="E128" s="92" t="s">
        <v>4063</v>
      </c>
      <c r="F128" s="92"/>
      <c r="G128" s="92" t="s">
        <v>5620</v>
      </c>
      <c r="H128" s="92">
        <v>8</v>
      </c>
      <c r="I128" s="92" t="s">
        <v>5621</v>
      </c>
      <c r="J128" s="92" t="s">
        <v>4064</v>
      </c>
      <c r="K128" s="92">
        <v>8</v>
      </c>
      <c r="L128" s="1445">
        <v>0.13</v>
      </c>
      <c r="M128" s="92">
        <v>0</v>
      </c>
      <c r="N128" s="1445">
        <v>0.05</v>
      </c>
      <c r="O128" s="1445"/>
      <c r="P128" s="1778">
        <v>31374485</v>
      </c>
      <c r="Q128" s="1778">
        <v>184325820</v>
      </c>
      <c r="R128" s="1778">
        <v>13120000</v>
      </c>
      <c r="S128" s="1778">
        <v>0</v>
      </c>
      <c r="T128" s="75">
        <f t="shared" si="27"/>
        <v>7.1178308063406415E-2</v>
      </c>
      <c r="U128" s="75">
        <f t="shared" si="27"/>
        <v>0</v>
      </c>
      <c r="V128" s="1460"/>
      <c r="W128" s="1460"/>
      <c r="X128" s="1462" t="s">
        <v>5622</v>
      </c>
      <c r="Y128" s="92" t="s">
        <v>84</v>
      </c>
    </row>
    <row r="129" spans="1:25" ht="27">
      <c r="A129" s="72">
        <v>4164</v>
      </c>
      <c r="B129" s="933"/>
      <c r="C129" s="72" t="s">
        <v>451</v>
      </c>
      <c r="D129" s="934" t="s">
        <v>4065</v>
      </c>
      <c r="E129" s="92" t="s">
        <v>4066</v>
      </c>
      <c r="F129" s="92"/>
      <c r="G129" s="92"/>
      <c r="H129" s="92">
        <v>18</v>
      </c>
      <c r="I129" s="92"/>
      <c r="J129" s="92"/>
      <c r="K129" s="92">
        <f>+K132</f>
        <v>26</v>
      </c>
      <c r="L129" s="1445">
        <f>L130+L131+L132</f>
        <v>1</v>
      </c>
      <c r="M129" s="92"/>
      <c r="N129" s="1445">
        <f>N130+N131+N132</f>
        <v>0.51</v>
      </c>
      <c r="O129" s="1445">
        <f>IF(Q129&gt;0, N129,"na")</f>
        <v>0.51</v>
      </c>
      <c r="P129" s="1778">
        <v>451664120</v>
      </c>
      <c r="Q129" s="1778">
        <v>803531560</v>
      </c>
      <c r="R129" s="1778">
        <v>372904000</v>
      </c>
      <c r="S129" s="1778">
        <v>106178000</v>
      </c>
      <c r="T129" s="75">
        <f t="shared" si="27"/>
        <v>0.46408133614565183</v>
      </c>
      <c r="U129" s="75">
        <f t="shared" si="27"/>
        <v>0.28473279986269923</v>
      </c>
      <c r="V129" s="1460">
        <v>44942</v>
      </c>
      <c r="W129" s="1784">
        <v>45291</v>
      </c>
      <c r="X129" s="110"/>
      <c r="Y129" s="92"/>
    </row>
    <row r="130" spans="1:25" ht="94.5">
      <c r="A130" s="72"/>
      <c r="B130" s="1295"/>
      <c r="C130" s="72"/>
      <c r="D130" s="1270"/>
      <c r="E130" s="92" t="s">
        <v>4067</v>
      </c>
      <c r="F130" s="92"/>
      <c r="G130" s="92"/>
      <c r="H130" s="92"/>
      <c r="I130" s="92" t="s">
        <v>5623</v>
      </c>
      <c r="J130" s="92" t="s">
        <v>106</v>
      </c>
      <c r="K130" s="92">
        <v>1000</v>
      </c>
      <c r="L130" s="1445">
        <v>0.4</v>
      </c>
      <c r="M130" s="92">
        <v>517</v>
      </c>
      <c r="N130" s="1445">
        <v>0.21</v>
      </c>
      <c r="O130" s="1445"/>
      <c r="P130" s="1778">
        <v>150445040</v>
      </c>
      <c r="Q130" s="1778">
        <v>244045240</v>
      </c>
      <c r="R130" s="1778">
        <v>63722000</v>
      </c>
      <c r="S130" s="1778">
        <v>5231000</v>
      </c>
      <c r="T130" s="75">
        <f t="shared" si="27"/>
        <v>0.26110732583843882</v>
      </c>
      <c r="U130" s="75">
        <f t="shared" si="27"/>
        <v>8.2090957597062239E-2</v>
      </c>
      <c r="V130" s="1460"/>
      <c r="W130" s="1460"/>
      <c r="X130" s="110" t="s">
        <v>5624</v>
      </c>
      <c r="Y130" s="92" t="s">
        <v>84</v>
      </c>
    </row>
    <row r="131" spans="1:25" ht="94.5">
      <c r="A131" s="72"/>
      <c r="B131" s="1295"/>
      <c r="C131" s="72"/>
      <c r="D131" s="1270"/>
      <c r="E131" s="92" t="s">
        <v>4068</v>
      </c>
      <c r="F131" s="92"/>
      <c r="G131" s="92"/>
      <c r="H131" s="92"/>
      <c r="I131" s="92" t="s">
        <v>5625</v>
      </c>
      <c r="J131" s="92" t="s">
        <v>1958</v>
      </c>
      <c r="K131" s="92">
        <v>1</v>
      </c>
      <c r="L131" s="1445">
        <v>0.25</v>
      </c>
      <c r="M131" s="92">
        <v>1</v>
      </c>
      <c r="N131" s="1445">
        <v>0.25</v>
      </c>
      <c r="O131" s="1445"/>
      <c r="P131" s="1778">
        <v>21703600</v>
      </c>
      <c r="Q131" s="1778">
        <v>62967600</v>
      </c>
      <c r="R131" s="1778">
        <v>28770500</v>
      </c>
      <c r="S131" s="1778">
        <v>2615500</v>
      </c>
      <c r="T131" s="75">
        <f t="shared" si="27"/>
        <v>0.45690958524701591</v>
      </c>
      <c r="U131" s="75">
        <f t="shared" si="27"/>
        <v>9.0909090909090912E-2</v>
      </c>
      <c r="V131" s="1460"/>
      <c r="W131" s="1460"/>
      <c r="X131" s="110" t="s">
        <v>5626</v>
      </c>
      <c r="Y131" s="92" t="s">
        <v>84</v>
      </c>
    </row>
    <row r="132" spans="1:25" ht="94.5">
      <c r="A132" s="72"/>
      <c r="B132" s="1286"/>
      <c r="C132" s="72"/>
      <c r="D132" s="1280"/>
      <c r="E132" s="92" t="s">
        <v>4069</v>
      </c>
      <c r="F132" s="92"/>
      <c r="G132" s="92" t="s">
        <v>500</v>
      </c>
      <c r="H132" s="92">
        <v>18</v>
      </c>
      <c r="I132" s="92" t="s">
        <v>5627</v>
      </c>
      <c r="J132" s="92" t="s">
        <v>3359</v>
      </c>
      <c r="K132" s="92">
        <v>26</v>
      </c>
      <c r="L132" s="1445">
        <v>0.35</v>
      </c>
      <c r="M132" s="92">
        <v>0</v>
      </c>
      <c r="N132" s="1445">
        <v>0.05</v>
      </c>
      <c r="O132" s="1445"/>
      <c r="P132" s="1778">
        <v>279515480</v>
      </c>
      <c r="Q132" s="1778">
        <v>496518720</v>
      </c>
      <c r="R132" s="1778">
        <v>280411500</v>
      </c>
      <c r="S132" s="1778">
        <v>98331500</v>
      </c>
      <c r="T132" s="75">
        <f t="shared" si="27"/>
        <v>0.56475514155840889</v>
      </c>
      <c r="U132" s="75">
        <f t="shared" si="27"/>
        <v>0.35066857101081805</v>
      </c>
      <c r="V132" s="1460"/>
      <c r="W132" s="1460"/>
      <c r="X132" s="110" t="s">
        <v>5628</v>
      </c>
      <c r="Y132" s="92" t="s">
        <v>84</v>
      </c>
    </row>
    <row r="133" spans="1:25" ht="27">
      <c r="A133" s="73"/>
      <c r="B133" s="72">
        <v>54030020005</v>
      </c>
      <c r="C133" s="72" t="s">
        <v>103</v>
      </c>
      <c r="D133" s="92" t="s">
        <v>4070</v>
      </c>
      <c r="E133" s="92"/>
      <c r="F133" s="92">
        <v>20</v>
      </c>
      <c r="G133" s="92"/>
      <c r="H133" s="92">
        <f>H134</f>
        <v>17</v>
      </c>
      <c r="I133" s="92"/>
      <c r="J133" s="92"/>
      <c r="K133" s="92"/>
      <c r="L133" s="1445"/>
      <c r="M133" s="92"/>
      <c r="N133" s="1445"/>
      <c r="O133" s="1445"/>
      <c r="P133" s="1778"/>
      <c r="Q133" s="1778"/>
      <c r="R133" s="1778"/>
      <c r="S133" s="1778"/>
      <c r="T133" s="75"/>
      <c r="U133" s="75"/>
      <c r="V133" s="1460"/>
      <c r="W133" s="1460"/>
      <c r="X133" s="110"/>
      <c r="Y133" s="92"/>
    </row>
    <row r="134" spans="1:25" ht="27">
      <c r="A134" s="72">
        <v>4164</v>
      </c>
      <c r="B134" s="933"/>
      <c r="C134" s="72" t="s">
        <v>451</v>
      </c>
      <c r="D134" s="934" t="s">
        <v>4071</v>
      </c>
      <c r="E134" s="92" t="s">
        <v>4072</v>
      </c>
      <c r="F134" s="92"/>
      <c r="G134" s="92"/>
      <c r="H134" s="92">
        <v>17</v>
      </c>
      <c r="I134" s="92"/>
      <c r="J134" s="92"/>
      <c r="K134" s="92">
        <f>+K135</f>
        <v>760</v>
      </c>
      <c r="L134" s="1445">
        <f>L135+L136</f>
        <v>1</v>
      </c>
      <c r="M134" s="92"/>
      <c r="N134" s="1445">
        <f>N135+N136</f>
        <v>0.29078947368421054</v>
      </c>
      <c r="O134" s="1445">
        <f>IF(Q134&gt;0, N134,"na")</f>
        <v>0.29078947368421054</v>
      </c>
      <c r="P134" s="1778">
        <v>336606246</v>
      </c>
      <c r="Q134" s="1778">
        <v>586182486</v>
      </c>
      <c r="R134" s="1778">
        <v>373616000</v>
      </c>
      <c r="S134" s="1778">
        <v>175164000</v>
      </c>
      <c r="T134" s="75">
        <f t="shared" ref="T134:U136" si="28">IF(Q134=0,0,R134/Q134)</f>
        <v>0.63737148229979701</v>
      </c>
      <c r="U134" s="75">
        <f t="shared" si="28"/>
        <v>0.46883431116440411</v>
      </c>
      <c r="V134" s="1460">
        <v>44944</v>
      </c>
      <c r="W134" s="1784">
        <v>45291</v>
      </c>
      <c r="X134" s="110"/>
      <c r="Y134" s="92"/>
    </row>
    <row r="135" spans="1:25" ht="81">
      <c r="A135" s="72"/>
      <c r="B135" s="1295"/>
      <c r="C135" s="72"/>
      <c r="D135" s="1270"/>
      <c r="E135" s="92" t="s">
        <v>4073</v>
      </c>
      <c r="F135" s="92"/>
      <c r="G135" s="92" t="s">
        <v>4070</v>
      </c>
      <c r="H135" s="92">
        <v>17</v>
      </c>
      <c r="I135" s="92" t="s">
        <v>4074</v>
      </c>
      <c r="J135" s="92" t="s">
        <v>254</v>
      </c>
      <c r="K135" s="92">
        <v>760</v>
      </c>
      <c r="L135" s="1445">
        <v>0.55000000000000004</v>
      </c>
      <c r="M135" s="92">
        <v>145</v>
      </c>
      <c r="N135" s="1445">
        <v>0.19078947368421054</v>
      </c>
      <c r="O135" s="1445"/>
      <c r="P135" s="1778">
        <v>183557671</v>
      </c>
      <c r="Q135" s="1778">
        <v>345947456</v>
      </c>
      <c r="R135" s="1778">
        <v>248983000</v>
      </c>
      <c r="S135" s="1778">
        <v>122940000</v>
      </c>
      <c r="T135" s="75">
        <f t="shared" si="28"/>
        <v>0.71971334282625854</v>
      </c>
      <c r="U135" s="75">
        <f t="shared" si="28"/>
        <v>0.49376865087174626</v>
      </c>
      <c r="V135" s="1460"/>
      <c r="W135" s="1460"/>
      <c r="X135" s="110" t="s">
        <v>5629</v>
      </c>
      <c r="Y135" s="92" t="s">
        <v>84</v>
      </c>
    </row>
    <row r="136" spans="1:25" ht="67.5">
      <c r="A136" s="72"/>
      <c r="B136" s="1286"/>
      <c r="C136" s="72"/>
      <c r="D136" s="1280"/>
      <c r="E136" s="92" t="s">
        <v>4075</v>
      </c>
      <c r="F136" s="92"/>
      <c r="G136" s="92"/>
      <c r="H136" s="92"/>
      <c r="I136" s="92" t="s">
        <v>4076</v>
      </c>
      <c r="J136" s="92" t="s">
        <v>4077</v>
      </c>
      <c r="K136" s="92">
        <v>1</v>
      </c>
      <c r="L136" s="1445">
        <v>0.45</v>
      </c>
      <c r="M136" s="92">
        <v>0</v>
      </c>
      <c r="N136" s="1445">
        <v>0.1</v>
      </c>
      <c r="O136" s="1445"/>
      <c r="P136" s="1778">
        <v>153048575</v>
      </c>
      <c r="Q136" s="1778">
        <v>240235030</v>
      </c>
      <c r="R136" s="1778">
        <v>124633000</v>
      </c>
      <c r="S136" s="1778">
        <v>52224000</v>
      </c>
      <c r="T136" s="75">
        <f t="shared" si="28"/>
        <v>0.5187961139555709</v>
      </c>
      <c r="U136" s="75">
        <f t="shared" si="28"/>
        <v>0.41902224932401533</v>
      </c>
      <c r="V136" s="1460"/>
      <c r="W136" s="1460"/>
      <c r="X136" s="110" t="s">
        <v>5630</v>
      </c>
      <c r="Y136" s="92" t="s">
        <v>84</v>
      </c>
    </row>
    <row r="137" spans="1:25">
      <c r="A137" s="73"/>
      <c r="B137" s="72">
        <v>54030020006</v>
      </c>
      <c r="C137" s="72" t="s">
        <v>103</v>
      </c>
      <c r="D137" s="92" t="s">
        <v>4078</v>
      </c>
      <c r="E137" s="92"/>
      <c r="F137" s="92">
        <v>6</v>
      </c>
      <c r="G137" s="92"/>
      <c r="H137" s="92">
        <f>H138</f>
        <v>6</v>
      </c>
      <c r="I137" s="92"/>
      <c r="J137" s="92"/>
      <c r="K137" s="92"/>
      <c r="L137" s="1445"/>
      <c r="M137" s="92"/>
      <c r="N137" s="1445"/>
      <c r="O137" s="1445"/>
      <c r="P137" s="1778"/>
      <c r="Q137" s="1778"/>
      <c r="R137" s="1778"/>
      <c r="S137" s="1778"/>
      <c r="T137" s="75"/>
      <c r="U137" s="75"/>
      <c r="V137" s="1460"/>
      <c r="W137" s="1460"/>
      <c r="X137" s="110"/>
      <c r="Y137" s="92"/>
    </row>
    <row r="138" spans="1:25">
      <c r="A138" s="72">
        <v>4164</v>
      </c>
      <c r="B138" s="933"/>
      <c r="C138" s="72" t="s">
        <v>451</v>
      </c>
      <c r="D138" s="934" t="s">
        <v>4079</v>
      </c>
      <c r="E138" s="92" t="s">
        <v>4080</v>
      </c>
      <c r="F138" s="92"/>
      <c r="G138" s="92"/>
      <c r="H138" s="92">
        <v>6</v>
      </c>
      <c r="I138" s="92"/>
      <c r="J138" s="92"/>
      <c r="K138" s="92">
        <f>+K140</f>
        <v>6</v>
      </c>
      <c r="L138" s="1445">
        <f>L139+L140+L141</f>
        <v>1</v>
      </c>
      <c r="M138" s="92"/>
      <c r="N138" s="1445">
        <f>N139+N140</f>
        <v>0.25</v>
      </c>
      <c r="O138" s="1445">
        <f>IF(Q138&gt;0, N138,"na")</f>
        <v>0.25</v>
      </c>
      <c r="P138" s="1778">
        <v>258926949</v>
      </c>
      <c r="Q138" s="1778">
        <v>645873844</v>
      </c>
      <c r="R138" s="1778">
        <v>318035000</v>
      </c>
      <c r="S138" s="1778">
        <v>125793000</v>
      </c>
      <c r="T138" s="75">
        <f t="shared" ref="T138:U140" si="29">IF(Q138=0,0,R138/Q138)</f>
        <v>0.4924104032923185</v>
      </c>
      <c r="U138" s="75">
        <f t="shared" si="29"/>
        <v>0.39553193830867672</v>
      </c>
      <c r="V138" s="1460">
        <v>44944</v>
      </c>
      <c r="W138" s="1784">
        <v>45291</v>
      </c>
      <c r="X138" s="110"/>
      <c r="Y138" s="92"/>
    </row>
    <row r="139" spans="1:25" ht="81">
      <c r="A139" s="72"/>
      <c r="B139" s="1295"/>
      <c r="C139" s="72"/>
      <c r="D139" s="1270"/>
      <c r="E139" s="92" t="s">
        <v>4081</v>
      </c>
      <c r="F139" s="92"/>
      <c r="G139" s="92"/>
      <c r="H139" s="92"/>
      <c r="I139" s="92" t="s">
        <v>5631</v>
      </c>
      <c r="J139" s="92" t="s">
        <v>106</v>
      </c>
      <c r="K139" s="92">
        <v>100</v>
      </c>
      <c r="L139" s="1445">
        <v>0.54</v>
      </c>
      <c r="M139" s="92">
        <v>0</v>
      </c>
      <c r="N139" s="1445">
        <v>0.15</v>
      </c>
      <c r="O139" s="1445"/>
      <c r="P139" s="1778">
        <v>138661629</v>
      </c>
      <c r="Q139" s="1778">
        <v>423081644</v>
      </c>
      <c r="R139" s="1778">
        <v>281564000</v>
      </c>
      <c r="S139" s="1778">
        <v>125793000</v>
      </c>
      <c r="T139" s="75">
        <f t="shared" si="29"/>
        <v>0.66550748299540974</v>
      </c>
      <c r="U139" s="75">
        <f t="shared" si="29"/>
        <v>0.44676521146169257</v>
      </c>
      <c r="V139" s="1460"/>
      <c r="W139" s="1460"/>
      <c r="X139" s="1787" t="s">
        <v>5632</v>
      </c>
      <c r="Y139" s="92" t="s">
        <v>84</v>
      </c>
    </row>
    <row r="140" spans="1:25" ht="94.5">
      <c r="A140" s="72"/>
      <c r="B140" s="1286"/>
      <c r="C140" s="72"/>
      <c r="D140" s="1280"/>
      <c r="E140" s="92" t="s">
        <v>4082</v>
      </c>
      <c r="F140" s="92"/>
      <c r="G140" s="92" t="s">
        <v>4078</v>
      </c>
      <c r="H140" s="92">
        <v>6</v>
      </c>
      <c r="I140" s="92" t="s">
        <v>5633</v>
      </c>
      <c r="J140" s="92" t="s">
        <v>4083</v>
      </c>
      <c r="K140" s="92">
        <v>6</v>
      </c>
      <c r="L140" s="1445">
        <v>0.46</v>
      </c>
      <c r="M140" s="92">
        <v>0</v>
      </c>
      <c r="N140" s="1445">
        <v>0.1</v>
      </c>
      <c r="O140" s="1445"/>
      <c r="P140" s="1778">
        <v>120265320</v>
      </c>
      <c r="Q140" s="1778">
        <v>222792200</v>
      </c>
      <c r="R140" s="1778">
        <v>36471000</v>
      </c>
      <c r="S140" s="1778">
        <v>0</v>
      </c>
      <c r="T140" s="75">
        <f t="shared" si="29"/>
        <v>0.16369962682715103</v>
      </c>
      <c r="U140" s="75">
        <f t="shared" si="29"/>
        <v>0</v>
      </c>
      <c r="V140" s="1460"/>
      <c r="W140" s="1460"/>
      <c r="X140" s="1787" t="s">
        <v>5634</v>
      </c>
      <c r="Y140" s="92" t="s">
        <v>84</v>
      </c>
    </row>
    <row r="141" spans="1:25">
      <c r="A141" s="73"/>
      <c r="B141" s="72">
        <v>54030020007</v>
      </c>
      <c r="C141" s="72" t="s">
        <v>103</v>
      </c>
      <c r="D141" s="92" t="s">
        <v>4084</v>
      </c>
      <c r="E141" s="92"/>
      <c r="F141" s="92">
        <v>7</v>
      </c>
      <c r="G141" s="92"/>
      <c r="H141" s="92">
        <f>H142</f>
        <v>7</v>
      </c>
      <c r="I141" s="92"/>
      <c r="J141" s="92"/>
      <c r="K141" s="92"/>
      <c r="L141" s="1445"/>
      <c r="M141" s="92"/>
      <c r="N141" s="1445"/>
      <c r="O141" s="1445"/>
      <c r="P141" s="1778"/>
      <c r="Q141" s="1778"/>
      <c r="R141" s="1778"/>
      <c r="S141" s="1778"/>
      <c r="T141" s="75"/>
      <c r="U141" s="75"/>
      <c r="V141" s="1460"/>
      <c r="W141" s="1460"/>
      <c r="X141" s="110"/>
      <c r="Y141" s="92"/>
    </row>
    <row r="142" spans="1:25" ht="27">
      <c r="A142" s="72">
        <v>4164</v>
      </c>
      <c r="B142" s="933"/>
      <c r="C142" s="72" t="s">
        <v>451</v>
      </c>
      <c r="D142" s="934" t="s">
        <v>4085</v>
      </c>
      <c r="E142" s="92" t="s">
        <v>4086</v>
      </c>
      <c r="F142" s="92"/>
      <c r="G142" s="92"/>
      <c r="H142" s="92">
        <v>7</v>
      </c>
      <c r="I142" s="92"/>
      <c r="J142" s="92"/>
      <c r="K142" s="92">
        <f>+K143</f>
        <v>1</v>
      </c>
      <c r="L142" s="1445">
        <f>L143+L144+L145</f>
        <v>1</v>
      </c>
      <c r="M142" s="92"/>
      <c r="N142" s="1445">
        <f>N143+N144+N145</f>
        <v>0.62</v>
      </c>
      <c r="O142" s="1445">
        <f>IF(Q142&gt;0, N142,"na")</f>
        <v>0.62</v>
      </c>
      <c r="P142" s="1778">
        <v>232475782</v>
      </c>
      <c r="Q142" s="1778">
        <v>489542062</v>
      </c>
      <c r="R142" s="1778">
        <v>181296000</v>
      </c>
      <c r="S142" s="1778">
        <v>38093000</v>
      </c>
      <c r="T142" s="75">
        <f t="shared" ref="T142:U145" si="30">IF(Q142=0,0,R142/Q142)</f>
        <v>0.37033794248307106</v>
      </c>
      <c r="U142" s="75">
        <f t="shared" si="30"/>
        <v>0.21011495013679288</v>
      </c>
      <c r="V142" s="1460">
        <v>44943</v>
      </c>
      <c r="W142" s="1784">
        <v>45291</v>
      </c>
      <c r="X142" s="110"/>
      <c r="Y142" s="92"/>
    </row>
    <row r="143" spans="1:25" ht="108">
      <c r="A143" s="72"/>
      <c r="B143" s="1295"/>
      <c r="C143" s="72"/>
      <c r="D143" s="1270"/>
      <c r="E143" s="92" t="s">
        <v>4087</v>
      </c>
      <c r="F143" s="92"/>
      <c r="G143" s="92"/>
      <c r="H143" s="92"/>
      <c r="I143" s="92" t="s">
        <v>5635</v>
      </c>
      <c r="J143" s="92" t="s">
        <v>4088</v>
      </c>
      <c r="K143" s="92">
        <v>1</v>
      </c>
      <c r="L143" s="1445">
        <v>0.49</v>
      </c>
      <c r="M143" s="1785">
        <v>1</v>
      </c>
      <c r="N143" s="1445">
        <v>0.49</v>
      </c>
      <c r="O143" s="1445"/>
      <c r="P143" s="1778">
        <v>181178482</v>
      </c>
      <c r="Q143" s="1778">
        <v>340892762</v>
      </c>
      <c r="R143" s="1778">
        <v>134436000</v>
      </c>
      <c r="S143" s="1778">
        <v>30283000</v>
      </c>
      <c r="T143" s="75">
        <f t="shared" si="30"/>
        <v>0.39436448932289153</v>
      </c>
      <c r="U143" s="75">
        <f t="shared" si="30"/>
        <v>0.22525960308250767</v>
      </c>
      <c r="V143" s="1460"/>
      <c r="W143" s="1460"/>
      <c r="X143" s="1787" t="s">
        <v>5636</v>
      </c>
      <c r="Y143" s="92" t="s">
        <v>84</v>
      </c>
    </row>
    <row r="144" spans="1:25" ht="81">
      <c r="A144" s="72"/>
      <c r="B144" s="1295"/>
      <c r="C144" s="72"/>
      <c r="D144" s="1270"/>
      <c r="E144" s="92" t="s">
        <v>4089</v>
      </c>
      <c r="F144" s="92"/>
      <c r="G144" s="92" t="s">
        <v>4084</v>
      </c>
      <c r="H144" s="92">
        <v>7</v>
      </c>
      <c r="I144" s="92" t="s">
        <v>5637</v>
      </c>
      <c r="J144" s="92" t="s">
        <v>2229</v>
      </c>
      <c r="K144" s="92">
        <v>7</v>
      </c>
      <c r="L144" s="1445">
        <v>0.28999999999999998</v>
      </c>
      <c r="M144" s="1785">
        <v>3</v>
      </c>
      <c r="N144" s="1445">
        <v>0.13</v>
      </c>
      <c r="O144" s="1445"/>
      <c r="P144" s="1778">
        <v>51297300</v>
      </c>
      <c r="Q144" s="1778">
        <v>148649300</v>
      </c>
      <c r="R144" s="1778">
        <v>46860000</v>
      </c>
      <c r="S144" s="1778">
        <v>7810000</v>
      </c>
      <c r="T144" s="75">
        <f t="shared" si="30"/>
        <v>0.31523861868168906</v>
      </c>
      <c r="U144" s="75">
        <f t="shared" si="30"/>
        <v>0.16666666666666666</v>
      </c>
      <c r="V144" s="1460"/>
      <c r="W144" s="1460"/>
      <c r="X144" s="1787" t="s">
        <v>5638</v>
      </c>
      <c r="Y144" s="92" t="s">
        <v>84</v>
      </c>
    </row>
    <row r="145" spans="1:25" ht="54">
      <c r="A145" s="72"/>
      <c r="B145" s="1286"/>
      <c r="C145" s="72"/>
      <c r="D145" s="1280"/>
      <c r="E145" s="92" t="s">
        <v>4090</v>
      </c>
      <c r="F145" s="92"/>
      <c r="G145" s="92"/>
      <c r="H145" s="92"/>
      <c r="I145" s="92" t="s">
        <v>4091</v>
      </c>
      <c r="J145" s="92" t="s">
        <v>4092</v>
      </c>
      <c r="K145" s="92">
        <v>5</v>
      </c>
      <c r="L145" s="1445">
        <v>0.22</v>
      </c>
      <c r="M145" s="1785">
        <v>0</v>
      </c>
      <c r="N145" s="1445">
        <v>0</v>
      </c>
      <c r="O145" s="1445"/>
      <c r="P145" s="1778">
        <v>51297300</v>
      </c>
      <c r="Q145" s="1778">
        <v>51297300</v>
      </c>
      <c r="R145" s="1778">
        <v>0</v>
      </c>
      <c r="S145" s="1778">
        <v>0</v>
      </c>
      <c r="T145" s="1791">
        <f t="shared" si="30"/>
        <v>0</v>
      </c>
      <c r="U145" s="1791">
        <f t="shared" si="30"/>
        <v>0</v>
      </c>
      <c r="V145" s="1460"/>
      <c r="W145" s="1460"/>
      <c r="X145" s="1792"/>
      <c r="Y145" s="92" t="s">
        <v>84</v>
      </c>
    </row>
    <row r="146" spans="1:25">
      <c r="A146" s="611"/>
      <c r="B146" s="611"/>
      <c r="C146" s="611"/>
      <c r="D146" s="121"/>
      <c r="E146" s="1793"/>
      <c r="F146" s="611"/>
      <c r="G146" s="611"/>
      <c r="H146" s="1794"/>
      <c r="I146" s="121"/>
      <c r="J146" s="121"/>
      <c r="K146" s="1795"/>
      <c r="L146" s="1796"/>
      <c r="M146" s="1795"/>
      <c r="N146" s="1797"/>
      <c r="O146" s="1798"/>
      <c r="P146" s="1799"/>
      <c r="Q146" s="1799"/>
      <c r="R146" s="1800"/>
      <c r="S146" s="1800"/>
      <c r="T146" s="1801"/>
      <c r="U146" s="1801"/>
      <c r="V146" s="1801"/>
      <c r="W146" s="1636"/>
      <c r="X146" s="104"/>
      <c r="Y146" s="106"/>
    </row>
    <row r="147" spans="1:25">
      <c r="A147" s="611"/>
      <c r="B147" s="105" t="s">
        <v>36</v>
      </c>
      <c r="C147" s="611">
        <f>COUNTIF(C7:C145,"pr")</f>
        <v>28</v>
      </c>
      <c r="D147" s="105"/>
      <c r="E147" s="105" t="s">
        <v>112</v>
      </c>
      <c r="F147" s="611"/>
      <c r="G147" s="1802">
        <f>COUNTIF(O11:O145,"na")</f>
        <v>0</v>
      </c>
      <c r="H147" s="1803"/>
      <c r="I147" s="105"/>
      <c r="J147" s="611"/>
      <c r="K147" s="1252"/>
      <c r="L147" s="1804"/>
      <c r="M147" s="3293" t="s">
        <v>4093</v>
      </c>
      <c r="N147" s="3294"/>
      <c r="O147" s="1798">
        <f>AVERAGE(O11:O145)</f>
        <v>0.46328047993547078</v>
      </c>
      <c r="P147" s="1799">
        <f t="shared" ref="P147:S147" si="31">P11+P16+P20+P27+P32+P39+P44+P48+P52+P58+P63+P67+P71+P75+P81+P86+P90+P94+P102+P107+P113+P117+P126+P122+P129+P134+P138+P142</f>
        <v>11000000000</v>
      </c>
      <c r="Q147" s="1799">
        <f t="shared" si="31"/>
        <v>18024830034</v>
      </c>
      <c r="R147" s="1799">
        <f t="shared" si="31"/>
        <v>9471792000</v>
      </c>
      <c r="S147" s="1799">
        <f t="shared" si="31"/>
        <v>3841884500</v>
      </c>
      <c r="T147" s="123">
        <f>IF(Q147=0,0,R147/Q147)</f>
        <v>0.52548578722426142</v>
      </c>
      <c r="U147" s="123">
        <f>IF(R147=0,0,S147/R147)</f>
        <v>0.40561326726769337</v>
      </c>
      <c r="V147" s="105"/>
      <c r="W147" s="105"/>
      <c r="X147" s="104"/>
      <c r="Y147" s="121"/>
    </row>
    <row r="148" spans="1:25">
      <c r="A148" s="611"/>
      <c r="B148" s="105"/>
      <c r="C148" s="611"/>
      <c r="D148" s="105"/>
      <c r="E148" s="105"/>
      <c r="F148" s="611"/>
      <c r="G148" s="105"/>
      <c r="H148" s="1803"/>
      <c r="I148" s="105"/>
      <c r="J148" s="611"/>
      <c r="K148" s="1252"/>
      <c r="L148" s="1804"/>
      <c r="M148" s="3295" t="s">
        <v>4094</v>
      </c>
      <c r="N148" s="3294"/>
      <c r="O148" s="1798">
        <f>COUNTIF(O11:O145,0)</f>
        <v>0</v>
      </c>
      <c r="P148" s="1799">
        <v>11000000000</v>
      </c>
      <c r="Q148" s="1799">
        <v>18024830034</v>
      </c>
      <c r="R148" s="1799">
        <v>9471792000</v>
      </c>
      <c r="S148" s="1799">
        <v>3841884500</v>
      </c>
      <c r="T148" s="123"/>
      <c r="U148" s="123"/>
      <c r="V148" s="1805"/>
      <c r="W148" s="1805"/>
      <c r="X148" s="104"/>
      <c r="Y148" s="106"/>
    </row>
  </sheetData>
  <autoFilter ref="A5:Y6" xr:uid="{00000000-0009-0000-0000-000016000000}"/>
  <mergeCells count="34">
    <mergeCell ref="M147:N147"/>
    <mergeCell ref="M148:N148"/>
    <mergeCell ref="S3:U3"/>
    <mergeCell ref="V3:W3"/>
    <mergeCell ref="U5:U6"/>
    <mergeCell ref="V5:V6"/>
    <mergeCell ref="F5:F6"/>
    <mergeCell ref="Q5:Q6"/>
    <mergeCell ref="R5:R6"/>
    <mergeCell ref="A4:Y4"/>
    <mergeCell ref="W5:W6"/>
    <mergeCell ref="O5:O6"/>
    <mergeCell ref="L5:L6"/>
    <mergeCell ref="G5:G6"/>
    <mergeCell ref="H5:H6"/>
    <mergeCell ref="P5:P6"/>
    <mergeCell ref="M5:M6"/>
    <mergeCell ref="K5:K6"/>
    <mergeCell ref="A1:X1"/>
    <mergeCell ref="C5:C6"/>
    <mergeCell ref="D5:D6"/>
    <mergeCell ref="E5:E6"/>
    <mergeCell ref="N5:N6"/>
    <mergeCell ref="A2:Y2"/>
    <mergeCell ref="A3:B3"/>
    <mergeCell ref="C3:R3"/>
    <mergeCell ref="Y5:Y6"/>
    <mergeCell ref="S5:S6"/>
    <mergeCell ref="X5:X6"/>
    <mergeCell ref="B5:B6"/>
    <mergeCell ref="A5:A6"/>
    <mergeCell ref="I5:I6"/>
    <mergeCell ref="J5:J6"/>
    <mergeCell ref="T5:T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55"/>
  <sheetViews>
    <sheetView topLeftCell="A150" zoomScale="60" zoomScaleNormal="60" zoomScaleSheetLayoutView="100" workbookViewId="0">
      <selection activeCell="F154" sqref="F154"/>
    </sheetView>
  </sheetViews>
  <sheetFormatPr baseColWidth="10" defaultColWidth="11.42578125" defaultRowHeight="16.5"/>
  <cols>
    <col min="1" max="1" width="12.7109375" style="2" customWidth="1"/>
    <col min="2" max="2" width="13" style="3" customWidth="1"/>
    <col min="3" max="3" width="8.5703125" style="2" customWidth="1"/>
    <col min="4" max="4" width="32.140625" style="3" customWidth="1"/>
    <col min="5" max="5" width="17.140625" style="3" customWidth="1"/>
    <col min="6" max="6" width="13.28515625" style="3" customWidth="1"/>
    <col min="7" max="7" width="17.7109375" style="3" customWidth="1"/>
    <col min="8" max="8" width="13.28515625" style="3" customWidth="1"/>
    <col min="9" max="9" width="24.7109375" style="3" customWidth="1"/>
    <col min="10" max="10" width="17.85546875" style="2" customWidth="1"/>
    <col min="11" max="13" width="13.28515625" style="16" customWidth="1"/>
    <col min="14" max="14" width="13.28515625" style="3" customWidth="1"/>
    <col min="15" max="15" width="13.28515625" style="2" customWidth="1"/>
    <col min="16" max="16" width="15.5703125" style="3" customWidth="1"/>
    <col min="17" max="17" width="15.28515625" style="3" customWidth="1"/>
    <col min="18" max="18" width="15.5703125" style="3" customWidth="1"/>
    <col min="19" max="19" width="14.28515625" style="3" customWidth="1"/>
    <col min="20" max="20" width="12.7109375" style="3" customWidth="1"/>
    <col min="21" max="21" width="9.85546875" style="3" customWidth="1"/>
    <col min="22" max="23" width="10.42578125" style="3" customWidth="1"/>
    <col min="24" max="24" width="43.5703125" style="3" customWidth="1"/>
    <col min="25" max="25" width="13.85546875" style="17" customWidth="1"/>
    <col min="26" max="26" width="10.42578125" style="3" customWidth="1"/>
    <col min="27" max="27" width="12.42578125" style="3" bestFit="1" customWidth="1"/>
    <col min="28" max="16384" width="11.42578125" style="3"/>
  </cols>
  <sheetData>
    <row r="1" spans="1:26"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6" s="26" customFormat="1" ht="25.5" customHeight="1">
      <c r="A2" s="3296"/>
      <c r="B2" s="3296"/>
      <c r="C2" s="3296"/>
      <c r="D2" s="3296"/>
      <c r="E2" s="3296"/>
      <c r="F2" s="3296"/>
      <c r="G2" s="3296"/>
      <c r="H2" s="3296"/>
      <c r="I2" s="3296"/>
      <c r="J2" s="3296"/>
      <c r="K2" s="3296"/>
      <c r="L2" s="3296"/>
      <c r="M2" s="3296"/>
      <c r="N2" s="3296"/>
      <c r="O2" s="3296"/>
      <c r="P2" s="3296"/>
      <c r="Q2" s="3296"/>
      <c r="R2" s="3296"/>
      <c r="S2" s="3296"/>
      <c r="T2" s="3296"/>
      <c r="U2" s="3296"/>
      <c r="V2" s="3296"/>
      <c r="W2" s="3296"/>
      <c r="X2" s="3296"/>
      <c r="Y2" s="3296"/>
    </row>
    <row r="3" spans="1:26" s="25" customFormat="1" ht="24.95" customHeight="1">
      <c r="A3" s="2833" t="s">
        <v>255</v>
      </c>
      <c r="B3" s="2833"/>
      <c r="C3" s="2833" t="s">
        <v>269</v>
      </c>
      <c r="D3" s="2833"/>
      <c r="E3" s="2833"/>
      <c r="F3" s="2833"/>
      <c r="G3" s="2833"/>
      <c r="H3" s="2833"/>
      <c r="I3" s="2833"/>
      <c r="J3" s="2833"/>
      <c r="K3" s="2833"/>
      <c r="L3" s="2833"/>
      <c r="M3" s="2833"/>
      <c r="N3" s="2833"/>
      <c r="O3" s="2833"/>
      <c r="P3" s="2833"/>
      <c r="Q3" s="2833"/>
      <c r="R3" s="2833"/>
      <c r="S3" s="2833"/>
      <c r="T3" s="2834" t="s">
        <v>17</v>
      </c>
      <c r="U3" s="2834"/>
      <c r="V3" s="2835">
        <v>45473</v>
      </c>
      <c r="W3" s="2834"/>
      <c r="X3" s="40" t="s">
        <v>5</v>
      </c>
      <c r="Y3" s="60">
        <v>2024</v>
      </c>
    </row>
    <row r="4" spans="1:26"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row>
    <row r="5" spans="1:26" ht="53.25" customHeight="1">
      <c r="A5" s="2905" t="s">
        <v>74</v>
      </c>
      <c r="B5" s="2905" t="s">
        <v>4</v>
      </c>
      <c r="C5" s="2905" t="s">
        <v>3</v>
      </c>
      <c r="D5" s="2905" t="s">
        <v>94</v>
      </c>
      <c r="E5" s="2905" t="s">
        <v>2</v>
      </c>
      <c r="F5" s="2905" t="s">
        <v>75</v>
      </c>
      <c r="G5" s="2905" t="s">
        <v>92</v>
      </c>
      <c r="H5" s="2905" t="s">
        <v>93</v>
      </c>
      <c r="I5" s="2905" t="s">
        <v>8</v>
      </c>
      <c r="J5" s="2905" t="s">
        <v>9</v>
      </c>
      <c r="K5" s="2905" t="s">
        <v>10</v>
      </c>
      <c r="L5" s="2940" t="s">
        <v>11</v>
      </c>
      <c r="M5" s="2904" t="s">
        <v>86</v>
      </c>
      <c r="N5" s="2938" t="s">
        <v>12</v>
      </c>
      <c r="O5" s="2938" t="s">
        <v>72</v>
      </c>
      <c r="P5" s="2944" t="s">
        <v>1</v>
      </c>
      <c r="Q5" s="2938" t="s">
        <v>13</v>
      </c>
      <c r="R5" s="2938" t="s">
        <v>14</v>
      </c>
      <c r="S5" s="2938" t="s">
        <v>16</v>
      </c>
      <c r="T5" s="2938" t="s">
        <v>15</v>
      </c>
      <c r="U5" s="2938" t="s">
        <v>89</v>
      </c>
      <c r="V5" s="2944" t="s">
        <v>6</v>
      </c>
      <c r="W5" s="2944" t="s">
        <v>7</v>
      </c>
      <c r="X5" s="2938" t="s">
        <v>0</v>
      </c>
      <c r="Y5" s="2955" t="s">
        <v>76</v>
      </c>
    </row>
    <row r="6" spans="1:26" ht="42.75" customHeight="1">
      <c r="A6" s="2881"/>
      <c r="B6" s="2881"/>
      <c r="C6" s="2881"/>
      <c r="D6" s="2881"/>
      <c r="E6" s="2881"/>
      <c r="F6" s="2881"/>
      <c r="G6" s="2881"/>
      <c r="H6" s="2881"/>
      <c r="I6" s="2881"/>
      <c r="J6" s="2881"/>
      <c r="K6" s="2881"/>
      <c r="L6" s="3132"/>
      <c r="M6" s="2883"/>
      <c r="N6" s="3131"/>
      <c r="O6" s="3131"/>
      <c r="P6" s="3297"/>
      <c r="Q6" s="3131"/>
      <c r="R6" s="3131"/>
      <c r="S6" s="3131"/>
      <c r="T6" s="3131"/>
      <c r="U6" s="3131"/>
      <c r="V6" s="3297"/>
      <c r="W6" s="3297"/>
      <c r="X6" s="3131"/>
      <c r="Y6" s="3242"/>
    </row>
    <row r="7" spans="1:26">
      <c r="A7" s="1806"/>
      <c r="B7" s="1807" t="s">
        <v>4095</v>
      </c>
      <c r="C7" s="1808" t="s">
        <v>100</v>
      </c>
      <c r="D7" s="85" t="s">
        <v>1171</v>
      </c>
      <c r="E7" s="1809"/>
      <c r="F7" s="111"/>
      <c r="G7" s="1809"/>
      <c r="H7" s="1809"/>
      <c r="I7" s="1809"/>
      <c r="J7" s="1809"/>
      <c r="K7" s="1809"/>
      <c r="L7" s="1810"/>
      <c r="M7" s="128"/>
      <c r="N7" s="128"/>
      <c r="O7" s="128"/>
      <c r="P7" s="1633"/>
      <c r="Q7" s="1633"/>
      <c r="R7" s="1633"/>
      <c r="S7" s="1633"/>
      <c r="T7" s="1633"/>
      <c r="U7" s="655"/>
      <c r="V7" s="1809"/>
      <c r="W7" s="1809"/>
      <c r="X7" s="101"/>
      <c r="Y7" s="1809"/>
      <c r="Z7" s="1281"/>
    </row>
    <row r="8" spans="1:26">
      <c r="A8" s="1811"/>
      <c r="B8" s="1637">
        <v>5101</v>
      </c>
      <c r="C8" s="1812" t="s">
        <v>101</v>
      </c>
      <c r="D8" s="85" t="s">
        <v>135</v>
      </c>
      <c r="E8" s="1809"/>
      <c r="F8" s="111"/>
      <c r="G8" s="1809"/>
      <c r="H8" s="1809"/>
      <c r="I8" s="1809"/>
      <c r="J8" s="1809"/>
      <c r="K8" s="1809"/>
      <c r="L8" s="1810"/>
      <c r="M8" s="128"/>
      <c r="N8" s="128"/>
      <c r="O8" s="128"/>
      <c r="P8" s="1633"/>
      <c r="Q8" s="1633"/>
      <c r="R8" s="1633"/>
      <c r="S8" s="1633"/>
      <c r="T8" s="1633"/>
      <c r="U8" s="655"/>
      <c r="V8" s="1809"/>
      <c r="W8" s="1809"/>
      <c r="X8" s="101"/>
      <c r="Y8" s="1809"/>
      <c r="Z8" s="1281"/>
    </row>
    <row r="9" spans="1:26">
      <c r="A9" s="1811"/>
      <c r="B9" s="1813">
        <v>5101001</v>
      </c>
      <c r="C9" s="1814" t="s">
        <v>102</v>
      </c>
      <c r="D9" s="93" t="s">
        <v>136</v>
      </c>
      <c r="E9" s="1809"/>
      <c r="F9" s="111"/>
      <c r="G9" s="1809"/>
      <c r="H9" s="1809"/>
      <c r="I9" s="1809"/>
      <c r="J9" s="1809"/>
      <c r="K9" s="1809"/>
      <c r="L9" s="1810"/>
      <c r="M9" s="128"/>
      <c r="N9" s="128"/>
      <c r="O9" s="128"/>
      <c r="P9" s="1633"/>
      <c r="Q9" s="1633"/>
      <c r="R9" s="1633"/>
      <c r="S9" s="1633"/>
      <c r="T9" s="1633"/>
      <c r="U9" s="655"/>
      <c r="V9" s="1809"/>
      <c r="W9" s="1809"/>
      <c r="X9" s="101"/>
      <c r="Y9" s="1809"/>
      <c r="Z9" s="1281"/>
    </row>
    <row r="10" spans="1:26" s="45" customFormat="1" ht="12.75" customHeight="1">
      <c r="A10" s="1811"/>
      <c r="B10" s="1813">
        <v>51010010038</v>
      </c>
      <c r="C10" s="1814" t="s">
        <v>103</v>
      </c>
      <c r="D10" s="93" t="s">
        <v>4096</v>
      </c>
      <c r="E10" s="1809"/>
      <c r="F10" s="111">
        <v>200</v>
      </c>
      <c r="G10" s="1809"/>
      <c r="H10" s="128">
        <f t="shared" ref="H10:H11" si="0">+H11</f>
        <v>0</v>
      </c>
      <c r="I10" s="1809"/>
      <c r="J10" s="1809"/>
      <c r="K10" s="128">
        <f t="shared" ref="K10:K11" si="1">+K11</f>
        <v>200</v>
      </c>
      <c r="L10" s="1810"/>
      <c r="M10" s="128"/>
      <c r="N10" s="128"/>
      <c r="O10" s="128"/>
      <c r="P10" s="1633"/>
      <c r="Q10" s="1633"/>
      <c r="R10" s="1633"/>
      <c r="S10" s="1633"/>
      <c r="T10" s="1633"/>
      <c r="U10" s="655"/>
      <c r="V10" s="1815"/>
      <c r="W10" s="1815"/>
      <c r="X10" s="101"/>
      <c r="Y10" s="1809"/>
      <c r="Z10" s="1281"/>
    </row>
    <row r="11" spans="1:26" ht="16.5" customHeight="1">
      <c r="A11" s="2969">
        <v>4171</v>
      </c>
      <c r="B11" s="3298"/>
      <c r="C11" s="3300" t="s">
        <v>109</v>
      </c>
      <c r="D11" s="2852" t="s">
        <v>4097</v>
      </c>
      <c r="E11" s="128" t="s">
        <v>4098</v>
      </c>
      <c r="F11" s="111"/>
      <c r="G11" s="1809"/>
      <c r="H11" s="128">
        <f t="shared" si="0"/>
        <v>0</v>
      </c>
      <c r="I11" s="1809"/>
      <c r="J11" s="1809"/>
      <c r="K11" s="128">
        <f t="shared" si="1"/>
        <v>200</v>
      </c>
      <c r="L11" s="1443">
        <f>+L12+L13</f>
        <v>1</v>
      </c>
      <c r="M11" s="128">
        <f>M12</f>
        <v>0</v>
      </c>
      <c r="N11" s="1781">
        <f>SUM(N12:N13)</f>
        <v>6.4000000000000001E-2</v>
      </c>
      <c r="O11" s="3302">
        <f>IF(Q11&gt;0,N11,"na")</f>
        <v>6.4000000000000001E-2</v>
      </c>
      <c r="P11" s="1816">
        <f t="shared" ref="P11:S11" si="2">SUM(P12:P13)</f>
        <v>500000000</v>
      </c>
      <c r="Q11" s="1816">
        <f t="shared" si="2"/>
        <v>513800000</v>
      </c>
      <c r="R11" s="1816">
        <f t="shared" si="2"/>
        <v>173128000</v>
      </c>
      <c r="S11" s="1816">
        <f t="shared" si="2"/>
        <v>87784000</v>
      </c>
      <c r="T11" s="1446">
        <v>0</v>
      </c>
      <c r="U11" s="1817">
        <v>0</v>
      </c>
      <c r="V11" s="1815"/>
      <c r="W11" s="1815"/>
      <c r="X11" s="101"/>
      <c r="Y11" s="2853" t="s">
        <v>4099</v>
      </c>
      <c r="Z11" s="1281"/>
    </row>
    <row r="12" spans="1:26" ht="135" customHeight="1">
      <c r="A12" s="3009"/>
      <c r="B12" s="3303"/>
      <c r="C12" s="3304"/>
      <c r="D12" s="3009"/>
      <c r="E12" s="128" t="s">
        <v>4100</v>
      </c>
      <c r="F12" s="3112"/>
      <c r="G12" s="2852" t="s">
        <v>4101</v>
      </c>
      <c r="H12" s="2853">
        <f>M12</f>
        <v>0</v>
      </c>
      <c r="I12" s="92" t="s">
        <v>4102</v>
      </c>
      <c r="J12" s="92" t="s">
        <v>1006</v>
      </c>
      <c r="K12" s="128">
        <v>200</v>
      </c>
      <c r="L12" s="1443">
        <v>0.8</v>
      </c>
      <c r="M12" s="128">
        <v>0</v>
      </c>
      <c r="N12" s="1781">
        <v>6.4000000000000001E-2</v>
      </c>
      <c r="O12" s="3303"/>
      <c r="P12" s="1816">
        <v>482100000</v>
      </c>
      <c r="Q12" s="1816">
        <v>484900000</v>
      </c>
      <c r="R12" s="1816">
        <v>173128000</v>
      </c>
      <c r="S12" s="1816">
        <v>87784000</v>
      </c>
      <c r="T12" s="1446">
        <v>0</v>
      </c>
      <c r="U12" s="1817">
        <v>0</v>
      </c>
      <c r="V12" s="1153">
        <v>45310</v>
      </c>
      <c r="W12" s="221">
        <v>45657</v>
      </c>
      <c r="X12" s="101" t="s">
        <v>5639</v>
      </c>
      <c r="Y12" s="3009"/>
      <c r="Z12" s="1281"/>
    </row>
    <row r="13" spans="1:26" ht="27">
      <c r="A13" s="3010"/>
      <c r="B13" s="3299"/>
      <c r="C13" s="3301"/>
      <c r="D13" s="3010"/>
      <c r="E13" s="128" t="s">
        <v>4103</v>
      </c>
      <c r="F13" s="3010"/>
      <c r="G13" s="3010"/>
      <c r="H13" s="3010"/>
      <c r="I13" s="92" t="s">
        <v>4104</v>
      </c>
      <c r="J13" s="92" t="s">
        <v>4105</v>
      </c>
      <c r="K13" s="128">
        <v>1</v>
      </c>
      <c r="L13" s="1443">
        <v>0.2</v>
      </c>
      <c r="M13" s="128">
        <v>0</v>
      </c>
      <c r="N13" s="1781">
        <v>0</v>
      </c>
      <c r="O13" s="3299"/>
      <c r="P13" s="1816">
        <v>17900000</v>
      </c>
      <c r="Q13" s="1816">
        <v>28900000</v>
      </c>
      <c r="R13" s="1816">
        <v>0</v>
      </c>
      <c r="S13" s="1816">
        <v>0</v>
      </c>
      <c r="T13" s="1446">
        <v>0</v>
      </c>
      <c r="U13" s="1817">
        <v>0</v>
      </c>
      <c r="V13" s="1153"/>
      <c r="W13" s="221"/>
      <c r="X13" s="101"/>
      <c r="Y13" s="3010"/>
      <c r="Z13" s="1281"/>
    </row>
    <row r="14" spans="1:26" ht="16.5" customHeight="1">
      <c r="A14" s="1811"/>
      <c r="B14" s="1637">
        <v>5102</v>
      </c>
      <c r="C14" s="1812" t="s">
        <v>101</v>
      </c>
      <c r="D14" s="85" t="s">
        <v>2448</v>
      </c>
      <c r="E14" s="1809"/>
      <c r="F14" s="111"/>
      <c r="G14" s="1809"/>
      <c r="H14" s="1809"/>
      <c r="I14" s="1809"/>
      <c r="J14" s="1809"/>
      <c r="K14" s="1809"/>
      <c r="L14" s="1818"/>
      <c r="M14" s="128"/>
      <c r="N14" s="128"/>
      <c r="O14" s="128"/>
      <c r="P14" s="1633"/>
      <c r="Q14" s="1633"/>
      <c r="R14" s="1633"/>
      <c r="S14" s="1633"/>
      <c r="T14" s="1633"/>
      <c r="U14" s="655"/>
      <c r="V14" s="1809"/>
      <c r="W14" s="1809"/>
      <c r="X14" s="101"/>
      <c r="Y14" s="1809"/>
      <c r="Z14" s="1281"/>
    </row>
    <row r="15" spans="1:26">
      <c r="A15" s="1811"/>
      <c r="B15" s="1813">
        <v>5101001</v>
      </c>
      <c r="C15" s="1814" t="s">
        <v>102</v>
      </c>
      <c r="D15" s="93" t="s">
        <v>2449</v>
      </c>
      <c r="E15" s="1809"/>
      <c r="F15" s="111"/>
      <c r="G15" s="1809"/>
      <c r="H15" s="1809"/>
      <c r="I15" s="1809"/>
      <c r="J15" s="1809"/>
      <c r="K15" s="1809"/>
      <c r="L15" s="1818"/>
      <c r="M15" s="128"/>
      <c r="N15" s="128"/>
      <c r="O15" s="128"/>
      <c r="P15" s="1633"/>
      <c r="Q15" s="1633"/>
      <c r="R15" s="1633"/>
      <c r="S15" s="1633"/>
      <c r="T15" s="1633"/>
      <c r="U15" s="655"/>
      <c r="V15" s="1809"/>
      <c r="W15" s="1809"/>
      <c r="X15" s="101"/>
      <c r="Y15" s="1809"/>
      <c r="Z15" s="1281"/>
    </row>
    <row r="16" spans="1:26" s="45" customFormat="1" ht="13.5" customHeight="1">
      <c r="A16" s="1811"/>
      <c r="B16" s="1637">
        <v>51020010007</v>
      </c>
      <c r="C16" s="1819" t="s">
        <v>103</v>
      </c>
      <c r="D16" s="93" t="s">
        <v>4106</v>
      </c>
      <c r="E16" s="1809"/>
      <c r="F16" s="111">
        <v>2</v>
      </c>
      <c r="G16" s="1809"/>
      <c r="H16" s="605">
        <f t="shared" ref="H16:H17" si="3">+H17</f>
        <v>0</v>
      </c>
      <c r="I16" s="1809"/>
      <c r="J16" s="1809"/>
      <c r="K16" s="128">
        <f t="shared" ref="K16:K17" si="4">+K17</f>
        <v>2</v>
      </c>
      <c r="L16" s="1818"/>
      <c r="M16" s="128"/>
      <c r="N16" s="128"/>
      <c r="O16" s="128"/>
      <c r="P16" s="1633"/>
      <c r="Q16" s="1633"/>
      <c r="R16" s="1633"/>
      <c r="S16" s="1633"/>
      <c r="T16" s="1633"/>
      <c r="U16" s="655"/>
      <c r="V16" s="1809"/>
      <c r="W16" s="1809"/>
      <c r="X16" s="101"/>
      <c r="Y16" s="1809"/>
      <c r="Z16" s="1281"/>
    </row>
    <row r="17" spans="1:26" ht="16.5" customHeight="1">
      <c r="A17" s="2969">
        <v>4171</v>
      </c>
      <c r="B17" s="3298"/>
      <c r="C17" s="3300" t="s">
        <v>109</v>
      </c>
      <c r="D17" s="2852" t="s">
        <v>4107</v>
      </c>
      <c r="E17" s="128" t="s">
        <v>4108</v>
      </c>
      <c r="F17" s="111"/>
      <c r="G17" s="1809"/>
      <c r="H17" s="605">
        <f t="shared" si="3"/>
        <v>0</v>
      </c>
      <c r="I17" s="1809"/>
      <c r="J17" s="1809"/>
      <c r="K17" s="128">
        <f t="shared" si="4"/>
        <v>2</v>
      </c>
      <c r="L17" s="1443">
        <f>+L18</f>
        <v>1</v>
      </c>
      <c r="M17" s="605">
        <f>M18</f>
        <v>0</v>
      </c>
      <c r="N17" s="1820">
        <f>SUM(N18)</f>
        <v>0.64</v>
      </c>
      <c r="O17" s="3302">
        <f>IF(Q17&gt;0,N17,"na")</f>
        <v>0.64</v>
      </c>
      <c r="P17" s="1816">
        <f t="shared" ref="P17:S17" si="5">P18</f>
        <v>4650000000</v>
      </c>
      <c r="Q17" s="1816">
        <f t="shared" si="5"/>
        <v>11469506279</v>
      </c>
      <c r="R17" s="1816">
        <f t="shared" si="5"/>
        <v>10006617479</v>
      </c>
      <c r="S17" s="1816">
        <f t="shared" si="5"/>
        <v>825691700</v>
      </c>
      <c r="T17" s="1294">
        <f t="shared" ref="T17:U18" si="6">IF(Q17=0,0,R17/Q17)</f>
        <v>0.87245407392308905</v>
      </c>
      <c r="U17" s="1294">
        <f t="shared" si="6"/>
        <v>8.2514566159124794E-2</v>
      </c>
      <c r="V17" s="1815"/>
      <c r="W17" s="1815"/>
      <c r="X17" s="101"/>
      <c r="Y17" s="2853" t="s">
        <v>4099</v>
      </c>
      <c r="Z17" s="1281"/>
    </row>
    <row r="18" spans="1:26" ht="94.5" customHeight="1">
      <c r="A18" s="3010"/>
      <c r="B18" s="3299"/>
      <c r="C18" s="3301"/>
      <c r="D18" s="3010"/>
      <c r="E18" s="128" t="s">
        <v>4109</v>
      </c>
      <c r="F18" s="111"/>
      <c r="G18" s="92" t="s">
        <v>4110</v>
      </c>
      <c r="H18" s="605">
        <f>M18</f>
        <v>0</v>
      </c>
      <c r="I18" s="92" t="s">
        <v>4111</v>
      </c>
      <c r="J18" s="92" t="s">
        <v>4112</v>
      </c>
      <c r="K18" s="128">
        <v>2</v>
      </c>
      <c r="L18" s="1443">
        <v>1</v>
      </c>
      <c r="M18" s="1642">
        <v>0</v>
      </c>
      <c r="N18" s="1820">
        <v>0.64</v>
      </c>
      <c r="O18" s="3299"/>
      <c r="P18" s="1816">
        <v>4650000000</v>
      </c>
      <c r="Q18" s="1816">
        <v>11469506279</v>
      </c>
      <c r="R18" s="1816">
        <v>10006617479</v>
      </c>
      <c r="S18" s="1816">
        <v>825691700</v>
      </c>
      <c r="T18" s="1821">
        <f t="shared" si="6"/>
        <v>0.87245407392308905</v>
      </c>
      <c r="U18" s="1821">
        <f t="shared" si="6"/>
        <v>8.2514566159124794E-2</v>
      </c>
      <c r="V18" s="1153">
        <v>45316</v>
      </c>
      <c r="W18" s="221">
        <v>45657</v>
      </c>
      <c r="X18" s="101" t="s">
        <v>5640</v>
      </c>
      <c r="Y18" s="3010"/>
      <c r="Z18" s="1281"/>
    </row>
    <row r="19" spans="1:26" s="45" customFormat="1" ht="25.5" customHeight="1">
      <c r="A19" s="1811"/>
      <c r="B19" s="1637">
        <v>51020010008</v>
      </c>
      <c r="C19" s="1819" t="s">
        <v>103</v>
      </c>
      <c r="D19" s="93" t="s">
        <v>4113</v>
      </c>
      <c r="E19" s="1809"/>
      <c r="F19" s="111">
        <f>K20+K23</f>
        <v>205</v>
      </c>
      <c r="G19" s="1809"/>
      <c r="H19" s="605">
        <f>+H20+H23</f>
        <v>32</v>
      </c>
      <c r="I19" s="1809"/>
      <c r="J19" s="1809"/>
      <c r="K19" s="128">
        <f>+K20+K23</f>
        <v>205</v>
      </c>
      <c r="L19" s="1818"/>
      <c r="M19" s="128"/>
      <c r="N19" s="128"/>
      <c r="O19" s="128"/>
      <c r="P19" s="1633"/>
      <c r="Q19" s="1633"/>
      <c r="R19" s="1633"/>
      <c r="S19" s="1633"/>
      <c r="T19" s="1633"/>
      <c r="U19" s="655"/>
      <c r="V19" s="1809"/>
      <c r="W19" s="1809"/>
      <c r="X19" s="101"/>
      <c r="Y19" s="1809"/>
      <c r="Z19" s="1281"/>
    </row>
    <row r="20" spans="1:26" ht="16.5" customHeight="1">
      <c r="A20" s="2969">
        <v>4171</v>
      </c>
      <c r="B20" s="3298"/>
      <c r="C20" s="3300" t="s">
        <v>109</v>
      </c>
      <c r="D20" s="2852" t="s">
        <v>4114</v>
      </c>
      <c r="E20" s="128" t="s">
        <v>4115</v>
      </c>
      <c r="F20" s="111"/>
      <c r="G20" s="1809"/>
      <c r="H20" s="605">
        <f>SUM(H21+H22)</f>
        <v>32</v>
      </c>
      <c r="I20" s="1809"/>
      <c r="J20" s="1809"/>
      <c r="K20" s="128">
        <f>+K22</f>
        <v>105</v>
      </c>
      <c r="L20" s="1443">
        <f>+L21+L22</f>
        <v>1</v>
      </c>
      <c r="M20" s="605">
        <f>M22</f>
        <v>32</v>
      </c>
      <c r="N20" s="1822">
        <f>SUM(N21:N22)</f>
        <v>0.24199999999999999</v>
      </c>
      <c r="O20" s="3302">
        <f>IF(Q20&gt;0,N20,"na")</f>
        <v>0.24199999999999999</v>
      </c>
      <c r="P20" s="1816">
        <f t="shared" ref="P20:S20" si="7">SUM(P21:P22)</f>
        <v>560627600</v>
      </c>
      <c r="Q20" s="1816">
        <f t="shared" si="7"/>
        <v>560627600</v>
      </c>
      <c r="R20" s="1816">
        <f t="shared" si="7"/>
        <v>511910000</v>
      </c>
      <c r="S20" s="1816">
        <f t="shared" si="7"/>
        <v>106146000</v>
      </c>
      <c r="T20" s="1294">
        <f t="shared" ref="T20:U24" si="8">IF(Q20=0,0,R20/Q20)</f>
        <v>0.91310167390973973</v>
      </c>
      <c r="U20" s="1294">
        <f t="shared" si="8"/>
        <v>0.20735285499404194</v>
      </c>
      <c r="V20" s="1815"/>
      <c r="W20" s="1815"/>
      <c r="X20" s="101"/>
      <c r="Y20" s="2853" t="s">
        <v>4099</v>
      </c>
      <c r="Z20" s="1281"/>
    </row>
    <row r="21" spans="1:26" ht="94.5" customHeight="1">
      <c r="A21" s="3009"/>
      <c r="B21" s="3303"/>
      <c r="C21" s="3304"/>
      <c r="D21" s="3009"/>
      <c r="E21" s="128" t="s">
        <v>4116</v>
      </c>
      <c r="F21" s="3112"/>
      <c r="G21" s="2853" t="s">
        <v>4117</v>
      </c>
      <c r="H21" s="605">
        <v>0</v>
      </c>
      <c r="I21" s="92" t="s">
        <v>4118</v>
      </c>
      <c r="J21" s="92" t="s">
        <v>4119</v>
      </c>
      <c r="K21" s="128">
        <v>75</v>
      </c>
      <c r="L21" s="1443">
        <v>0.28999999999999998</v>
      </c>
      <c r="M21" s="1642">
        <v>0</v>
      </c>
      <c r="N21" s="1822">
        <v>2.9000000000000001E-2</v>
      </c>
      <c r="O21" s="3303"/>
      <c r="P21" s="1816">
        <v>225627600</v>
      </c>
      <c r="Q21" s="1816">
        <v>225627600</v>
      </c>
      <c r="R21" s="1816">
        <v>176910000</v>
      </c>
      <c r="S21" s="1816">
        <v>106146000</v>
      </c>
      <c r="T21" s="1821">
        <f t="shared" si="8"/>
        <v>0.78407960728208781</v>
      </c>
      <c r="U21" s="1821">
        <f t="shared" si="8"/>
        <v>0.6</v>
      </c>
      <c r="V21" s="1153">
        <v>45442</v>
      </c>
      <c r="W21" s="221">
        <v>45626</v>
      </c>
      <c r="X21" s="101" t="s">
        <v>5641</v>
      </c>
      <c r="Y21" s="3009"/>
      <c r="Z21" s="1281"/>
    </row>
    <row r="22" spans="1:26" ht="40.5" customHeight="1">
      <c r="A22" s="3010"/>
      <c r="B22" s="3299"/>
      <c r="C22" s="3301"/>
      <c r="D22" s="3010"/>
      <c r="E22" s="128" t="s">
        <v>4120</v>
      </c>
      <c r="F22" s="3010"/>
      <c r="G22" s="3010"/>
      <c r="H22" s="605">
        <v>32</v>
      </c>
      <c r="I22" s="92" t="s">
        <v>4121</v>
      </c>
      <c r="J22" s="92" t="s">
        <v>4122</v>
      </c>
      <c r="K22" s="128">
        <v>105</v>
      </c>
      <c r="L22" s="1443">
        <v>0.71</v>
      </c>
      <c r="M22" s="1642">
        <v>32</v>
      </c>
      <c r="N22" s="1822">
        <v>0.21299999999999999</v>
      </c>
      <c r="O22" s="3299"/>
      <c r="P22" s="1816">
        <v>335000000</v>
      </c>
      <c r="Q22" s="1816">
        <v>335000000</v>
      </c>
      <c r="R22" s="1816">
        <v>335000000</v>
      </c>
      <c r="S22" s="1816">
        <v>0</v>
      </c>
      <c r="T22" s="1821">
        <f t="shared" si="8"/>
        <v>1</v>
      </c>
      <c r="U22" s="1821">
        <f t="shared" si="8"/>
        <v>0</v>
      </c>
      <c r="V22" s="1153">
        <v>45442</v>
      </c>
      <c r="W22" s="221">
        <v>45626</v>
      </c>
      <c r="X22" s="101" t="s">
        <v>5642</v>
      </c>
      <c r="Y22" s="3010"/>
      <c r="Z22" s="1281"/>
    </row>
    <row r="23" spans="1:26" ht="16.5" customHeight="1">
      <c r="A23" s="2969">
        <v>4171</v>
      </c>
      <c r="B23" s="3298"/>
      <c r="C23" s="3300" t="s">
        <v>109</v>
      </c>
      <c r="D23" s="2852" t="s">
        <v>4123</v>
      </c>
      <c r="E23" s="128" t="s">
        <v>4124</v>
      </c>
      <c r="F23" s="111"/>
      <c r="G23" s="1809"/>
      <c r="H23" s="605">
        <f>+H24</f>
        <v>0</v>
      </c>
      <c r="I23" s="1809"/>
      <c r="J23" s="1809"/>
      <c r="K23" s="128">
        <f t="shared" ref="K23:L23" si="9">+K24</f>
        <v>100</v>
      </c>
      <c r="L23" s="1443">
        <f t="shared" si="9"/>
        <v>1</v>
      </c>
      <c r="M23" s="605">
        <f>M24</f>
        <v>0</v>
      </c>
      <c r="N23" s="1822">
        <f>SUM(N24)</f>
        <v>0</v>
      </c>
      <c r="O23" s="3302">
        <f>IF(Q23&gt;0,N23,"na")</f>
        <v>0</v>
      </c>
      <c r="P23" s="1634">
        <f t="shared" ref="P23:S23" si="10">P24</f>
        <v>788211750</v>
      </c>
      <c r="Q23" s="1634">
        <f t="shared" si="10"/>
        <v>788211750</v>
      </c>
      <c r="R23" s="1634">
        <f t="shared" si="10"/>
        <v>0</v>
      </c>
      <c r="S23" s="1634">
        <f t="shared" si="10"/>
        <v>0</v>
      </c>
      <c r="T23" s="1294">
        <f t="shared" si="8"/>
        <v>0</v>
      </c>
      <c r="U23" s="1294">
        <f t="shared" si="8"/>
        <v>0</v>
      </c>
      <c r="V23" s="1815"/>
      <c r="W23" s="1815"/>
      <c r="X23" s="101"/>
      <c r="Y23" s="2853" t="s">
        <v>4099</v>
      </c>
      <c r="Z23" s="1281"/>
    </row>
    <row r="24" spans="1:26" ht="94.5" customHeight="1">
      <c r="A24" s="3010"/>
      <c r="B24" s="3299"/>
      <c r="C24" s="3301"/>
      <c r="D24" s="3010"/>
      <c r="E24" s="128" t="s">
        <v>4125</v>
      </c>
      <c r="F24" s="111"/>
      <c r="G24" s="128" t="s">
        <v>4126</v>
      </c>
      <c r="H24" s="605">
        <f>M24</f>
        <v>0</v>
      </c>
      <c r="I24" s="92" t="s">
        <v>4127</v>
      </c>
      <c r="J24" s="92" t="s">
        <v>2510</v>
      </c>
      <c r="K24" s="128">
        <v>100</v>
      </c>
      <c r="L24" s="1443">
        <v>1</v>
      </c>
      <c r="M24" s="1642">
        <v>0</v>
      </c>
      <c r="N24" s="1822">
        <v>0</v>
      </c>
      <c r="O24" s="3299"/>
      <c r="P24" s="1634">
        <v>788211750</v>
      </c>
      <c r="Q24" s="1634">
        <v>788211750</v>
      </c>
      <c r="R24" s="1634">
        <v>0</v>
      </c>
      <c r="S24" s="1634">
        <v>0</v>
      </c>
      <c r="T24" s="1821">
        <f t="shared" si="8"/>
        <v>0</v>
      </c>
      <c r="U24" s="1821">
        <f t="shared" si="8"/>
        <v>0</v>
      </c>
      <c r="V24" s="1153"/>
      <c r="W24" s="221"/>
      <c r="X24" s="101"/>
      <c r="Y24" s="3010"/>
      <c r="Z24" s="1281"/>
    </row>
    <row r="25" spans="1:26" s="45" customFormat="1" ht="13.5" customHeight="1">
      <c r="A25" s="1811"/>
      <c r="B25" s="1637">
        <v>51020010009</v>
      </c>
      <c r="C25" s="1819" t="s">
        <v>103</v>
      </c>
      <c r="D25" s="93" t="s">
        <v>4128</v>
      </c>
      <c r="E25" s="1809"/>
      <c r="F25" s="111">
        <f>K26</f>
        <v>6</v>
      </c>
      <c r="G25" s="1809"/>
      <c r="H25" s="605">
        <f t="shared" ref="H25:H26" si="11">+H26</f>
        <v>0</v>
      </c>
      <c r="I25" s="1809"/>
      <c r="J25" s="1809"/>
      <c r="K25" s="128">
        <f>+K26</f>
        <v>6</v>
      </c>
      <c r="L25" s="1818"/>
      <c r="M25" s="128"/>
      <c r="N25" s="128"/>
      <c r="O25" s="128"/>
      <c r="P25" s="1633"/>
      <c r="Q25" s="1633"/>
      <c r="R25" s="1633"/>
      <c r="S25" s="1633"/>
      <c r="T25" s="1633"/>
      <c r="U25" s="655"/>
      <c r="V25" s="1809"/>
      <c r="W25" s="1809"/>
      <c r="X25" s="101"/>
      <c r="Y25" s="1809"/>
      <c r="Z25" s="1281"/>
    </row>
    <row r="26" spans="1:26" ht="16.5" customHeight="1">
      <c r="A26" s="2969">
        <v>4171</v>
      </c>
      <c r="B26" s="3298"/>
      <c r="C26" s="3300" t="s">
        <v>109</v>
      </c>
      <c r="D26" s="2852" t="s">
        <v>4129</v>
      </c>
      <c r="E26" s="128" t="s">
        <v>4130</v>
      </c>
      <c r="F26" s="111"/>
      <c r="G26" s="1809"/>
      <c r="H26" s="605">
        <f t="shared" si="11"/>
        <v>0</v>
      </c>
      <c r="I26" s="1809"/>
      <c r="J26" s="1809"/>
      <c r="K26" s="128">
        <f>+K28</f>
        <v>6</v>
      </c>
      <c r="L26" s="1443">
        <f>+L27+L28+L29</f>
        <v>1</v>
      </c>
      <c r="M26" s="605">
        <f>M28</f>
        <v>0</v>
      </c>
      <c r="N26" s="1822">
        <f>SUM(N27:N28)</f>
        <v>4.1000000000000002E-2</v>
      </c>
      <c r="O26" s="3302">
        <f>IF(Q26&gt;0,N26,"na")</f>
        <v>4.1000000000000002E-2</v>
      </c>
      <c r="P26" s="1816">
        <f t="shared" ref="P26:S26" si="12">SUM(P27:P29)</f>
        <v>439372400</v>
      </c>
      <c r="Q26" s="1816">
        <f t="shared" si="12"/>
        <v>439372400</v>
      </c>
      <c r="R26" s="1816">
        <f t="shared" si="12"/>
        <v>318454200</v>
      </c>
      <c r="S26" s="1816">
        <f t="shared" si="12"/>
        <v>30433000</v>
      </c>
      <c r="T26" s="1294">
        <f t="shared" ref="T26:U29" si="13">IF(Q26=0,0,R26/Q26)</f>
        <v>0.72479336435333674</v>
      </c>
      <c r="U26" s="1294">
        <f t="shared" si="13"/>
        <v>9.5564762531001324E-2</v>
      </c>
      <c r="V26" s="1815"/>
      <c r="W26" s="1815"/>
      <c r="X26" s="101"/>
      <c r="Y26" s="2853" t="s">
        <v>4099</v>
      </c>
      <c r="Z26" s="1281"/>
    </row>
    <row r="27" spans="1:26" ht="27" customHeight="1">
      <c r="A27" s="3009"/>
      <c r="B27" s="3303"/>
      <c r="C27" s="3304"/>
      <c r="D27" s="3009"/>
      <c r="E27" s="128" t="s">
        <v>4131</v>
      </c>
      <c r="F27" s="3112"/>
      <c r="G27" s="2852" t="s">
        <v>4132</v>
      </c>
      <c r="H27" s="2995">
        <f>M28</f>
        <v>0</v>
      </c>
      <c r="I27" s="92" t="s">
        <v>4133</v>
      </c>
      <c r="J27" s="92" t="s">
        <v>2559</v>
      </c>
      <c r="K27" s="128">
        <v>6</v>
      </c>
      <c r="L27" s="1443">
        <v>0.28999999999999998</v>
      </c>
      <c r="M27" s="1642">
        <v>0</v>
      </c>
      <c r="N27" s="1822">
        <v>0</v>
      </c>
      <c r="O27" s="3303"/>
      <c r="P27" s="1816">
        <v>90000000</v>
      </c>
      <c r="Q27" s="1816">
        <v>90000000</v>
      </c>
      <c r="R27" s="1816">
        <v>90000000</v>
      </c>
      <c r="S27" s="1816">
        <v>0</v>
      </c>
      <c r="T27" s="1821">
        <f t="shared" si="13"/>
        <v>1</v>
      </c>
      <c r="U27" s="1821">
        <f t="shared" si="13"/>
        <v>0</v>
      </c>
      <c r="V27" s="1153">
        <v>45310</v>
      </c>
      <c r="W27" s="221">
        <v>45626</v>
      </c>
      <c r="X27" s="101" t="s">
        <v>5643</v>
      </c>
      <c r="Y27" s="3009"/>
      <c r="Z27" s="1281"/>
    </row>
    <row r="28" spans="1:26" ht="202.5" customHeight="1">
      <c r="A28" s="3009"/>
      <c r="B28" s="3303"/>
      <c r="C28" s="3304"/>
      <c r="D28" s="3009"/>
      <c r="E28" s="128" t="s">
        <v>4134</v>
      </c>
      <c r="F28" s="3009"/>
      <c r="G28" s="3009"/>
      <c r="H28" s="3009"/>
      <c r="I28" s="92" t="s">
        <v>4135</v>
      </c>
      <c r="J28" s="92" t="s">
        <v>4136</v>
      </c>
      <c r="K28" s="128">
        <v>6</v>
      </c>
      <c r="L28" s="1443">
        <v>0.41</v>
      </c>
      <c r="M28" s="1642">
        <v>0</v>
      </c>
      <c r="N28" s="1822">
        <v>4.1000000000000002E-2</v>
      </c>
      <c r="O28" s="3303"/>
      <c r="P28" s="1816">
        <v>271027200</v>
      </c>
      <c r="Q28" s="1816">
        <v>271027200</v>
      </c>
      <c r="R28" s="1816">
        <v>150109000</v>
      </c>
      <c r="S28" s="1816">
        <v>30433000</v>
      </c>
      <c r="T28" s="1821">
        <f t="shared" si="13"/>
        <v>0.55385215948805133</v>
      </c>
      <c r="U28" s="1821">
        <f t="shared" si="13"/>
        <v>0.20273934274427249</v>
      </c>
      <c r="V28" s="1153">
        <v>45310</v>
      </c>
      <c r="W28" s="221">
        <v>45626</v>
      </c>
      <c r="X28" s="101" t="s">
        <v>5644</v>
      </c>
      <c r="Y28" s="3009"/>
      <c r="Z28" s="1281"/>
    </row>
    <row r="29" spans="1:26" ht="54" customHeight="1">
      <c r="A29" s="3010"/>
      <c r="B29" s="3299"/>
      <c r="C29" s="3301"/>
      <c r="D29" s="3010"/>
      <c r="E29" s="128" t="s">
        <v>4137</v>
      </c>
      <c r="F29" s="3010"/>
      <c r="G29" s="3010"/>
      <c r="H29" s="3010"/>
      <c r="I29" s="92" t="s">
        <v>4138</v>
      </c>
      <c r="J29" s="92" t="s">
        <v>4139</v>
      </c>
      <c r="K29" s="128">
        <v>2</v>
      </c>
      <c r="L29" s="1443">
        <v>0.3</v>
      </c>
      <c r="M29" s="1642">
        <v>0</v>
      </c>
      <c r="N29" s="1822">
        <v>0</v>
      </c>
      <c r="O29" s="3299"/>
      <c r="P29" s="1816">
        <v>78345200</v>
      </c>
      <c r="Q29" s="1816">
        <v>78345200</v>
      </c>
      <c r="R29" s="1816">
        <v>78345200</v>
      </c>
      <c r="S29" s="1816">
        <v>0</v>
      </c>
      <c r="T29" s="1821">
        <f t="shared" si="13"/>
        <v>1</v>
      </c>
      <c r="U29" s="1821">
        <f t="shared" si="13"/>
        <v>0</v>
      </c>
      <c r="V29" s="1153">
        <v>45310</v>
      </c>
      <c r="W29" s="221">
        <v>45626</v>
      </c>
      <c r="X29" s="101" t="s">
        <v>5645</v>
      </c>
      <c r="Y29" s="3010"/>
      <c r="Z29" s="1281"/>
    </row>
    <row r="30" spans="1:26">
      <c r="A30" s="1811"/>
      <c r="B30" s="1813">
        <v>5102002</v>
      </c>
      <c r="C30" s="1814" t="s">
        <v>102</v>
      </c>
      <c r="D30" s="93" t="s">
        <v>4140</v>
      </c>
      <c r="E30" s="1809"/>
      <c r="F30" s="111"/>
      <c r="G30" s="1809"/>
      <c r="H30" s="1809"/>
      <c r="I30" s="1809"/>
      <c r="J30" s="1809"/>
      <c r="K30" s="1809"/>
      <c r="L30" s="1818"/>
      <c r="M30" s="128"/>
      <c r="N30" s="128"/>
      <c r="O30" s="128"/>
      <c r="P30" s="1633"/>
      <c r="Q30" s="1633"/>
      <c r="R30" s="1633"/>
      <c r="S30" s="1633"/>
      <c r="T30" s="1633"/>
      <c r="U30" s="655"/>
      <c r="V30" s="1809"/>
      <c r="W30" s="1809"/>
      <c r="X30" s="101"/>
      <c r="Y30" s="1809"/>
      <c r="Z30" s="1281"/>
    </row>
    <row r="31" spans="1:26" s="45" customFormat="1" ht="25.5" customHeight="1">
      <c r="A31" s="1811"/>
      <c r="B31" s="1637">
        <v>51020020002</v>
      </c>
      <c r="C31" s="1819" t="s">
        <v>103</v>
      </c>
      <c r="D31" s="93" t="s">
        <v>4141</v>
      </c>
      <c r="E31" s="1809"/>
      <c r="F31" s="111">
        <f>K32</f>
        <v>50</v>
      </c>
      <c r="G31" s="1809"/>
      <c r="H31" s="605">
        <f>+H32</f>
        <v>0</v>
      </c>
      <c r="I31" s="1809"/>
      <c r="J31" s="1809"/>
      <c r="K31" s="128">
        <f>+K32</f>
        <v>50</v>
      </c>
      <c r="L31" s="1818"/>
      <c r="M31" s="128"/>
      <c r="N31" s="128"/>
      <c r="O31" s="128"/>
      <c r="P31" s="1633"/>
      <c r="Q31" s="1633"/>
      <c r="R31" s="1633"/>
      <c r="S31" s="1633"/>
      <c r="T31" s="1633"/>
      <c r="U31" s="655"/>
      <c r="V31" s="1809"/>
      <c r="W31" s="1809"/>
      <c r="X31" s="101"/>
      <c r="Y31" s="1809"/>
      <c r="Z31" s="1281"/>
    </row>
    <row r="32" spans="1:26" ht="16.5" customHeight="1">
      <c r="A32" s="2969">
        <v>4171</v>
      </c>
      <c r="B32" s="3305"/>
      <c r="C32" s="3306" t="s">
        <v>109</v>
      </c>
      <c r="D32" s="2852" t="s">
        <v>4142</v>
      </c>
      <c r="E32" s="128" t="s">
        <v>4143</v>
      </c>
      <c r="F32" s="111"/>
      <c r="G32" s="1809"/>
      <c r="H32" s="605">
        <f>+H34</f>
        <v>0</v>
      </c>
      <c r="I32" s="1809"/>
      <c r="J32" s="1809"/>
      <c r="K32" s="128">
        <f>+K34</f>
        <v>50</v>
      </c>
      <c r="L32" s="1443">
        <f>+L33+L34</f>
        <v>1</v>
      </c>
      <c r="M32" s="605">
        <f>M34</f>
        <v>0</v>
      </c>
      <c r="N32" s="1820">
        <f>SUM(N33:N34)</f>
        <v>0.24000000000000002</v>
      </c>
      <c r="O32" s="3302">
        <f>IF(Q32&gt;0,N32,"na")</f>
        <v>0.24000000000000002</v>
      </c>
      <c r="P32" s="1823">
        <f t="shared" ref="P32:S32" si="14">SUM(P33:P34)</f>
        <v>350000000</v>
      </c>
      <c r="Q32" s="1823">
        <f t="shared" si="14"/>
        <v>350000000</v>
      </c>
      <c r="R32" s="1823">
        <f t="shared" si="14"/>
        <v>256128600</v>
      </c>
      <c r="S32" s="1816">
        <f t="shared" si="14"/>
        <v>106073000</v>
      </c>
      <c r="T32" s="1294">
        <f t="shared" ref="T32:U34" si="15">IF(Q32=0,0,R32/Q32)</f>
        <v>0.731796</v>
      </c>
      <c r="U32" s="1294">
        <f t="shared" si="15"/>
        <v>0.41413961580237429</v>
      </c>
      <c r="V32" s="1815"/>
      <c r="W32" s="1815"/>
      <c r="X32" s="101"/>
      <c r="Y32" s="2853" t="s">
        <v>4099</v>
      </c>
      <c r="Z32" s="1281"/>
    </row>
    <row r="33" spans="1:26" ht="67.5" customHeight="1">
      <c r="A33" s="3009"/>
      <c r="B33" s="3303"/>
      <c r="C33" s="3304"/>
      <c r="D33" s="3009"/>
      <c r="E33" s="128" t="s">
        <v>4144</v>
      </c>
      <c r="F33" s="3112"/>
      <c r="G33" s="2852" t="s">
        <v>4145</v>
      </c>
      <c r="H33" s="1809"/>
      <c r="I33" s="92" t="s">
        <v>4146</v>
      </c>
      <c r="J33" s="92" t="s">
        <v>156</v>
      </c>
      <c r="K33" s="128">
        <v>1</v>
      </c>
      <c r="L33" s="1443">
        <v>0.2</v>
      </c>
      <c r="M33" s="1642">
        <v>1</v>
      </c>
      <c r="N33" s="1820">
        <v>0.2</v>
      </c>
      <c r="O33" s="3303"/>
      <c r="P33" s="1823">
        <v>225627600</v>
      </c>
      <c r="Q33" s="1823">
        <v>225627600</v>
      </c>
      <c r="R33" s="1823">
        <v>198469000</v>
      </c>
      <c r="S33" s="1816">
        <v>106073000</v>
      </c>
      <c r="T33" s="1821">
        <f t="shared" si="15"/>
        <v>0.87963086076348818</v>
      </c>
      <c r="U33" s="1821">
        <f t="shared" si="15"/>
        <v>0.53445626269089885</v>
      </c>
      <c r="V33" s="1153">
        <v>45310</v>
      </c>
      <c r="W33" s="221">
        <v>45657</v>
      </c>
      <c r="X33" s="101" t="s">
        <v>5646</v>
      </c>
      <c r="Y33" s="3009"/>
      <c r="Z33" s="1281"/>
    </row>
    <row r="34" spans="1:26" ht="40.5" customHeight="1">
      <c r="A34" s="3010"/>
      <c r="B34" s="3299"/>
      <c r="C34" s="3301"/>
      <c r="D34" s="3010"/>
      <c r="E34" s="128" t="s">
        <v>4147</v>
      </c>
      <c r="F34" s="3010"/>
      <c r="G34" s="3010"/>
      <c r="H34" s="605">
        <f>M34</f>
        <v>0</v>
      </c>
      <c r="I34" s="92" t="s">
        <v>4148</v>
      </c>
      <c r="J34" s="92" t="s">
        <v>4122</v>
      </c>
      <c r="K34" s="128">
        <v>50</v>
      </c>
      <c r="L34" s="1443">
        <v>0.8</v>
      </c>
      <c r="M34" s="1642">
        <v>0</v>
      </c>
      <c r="N34" s="1820">
        <v>0.04</v>
      </c>
      <c r="O34" s="3299"/>
      <c r="P34" s="1823">
        <v>124372400</v>
      </c>
      <c r="Q34" s="1823">
        <v>124372400</v>
      </c>
      <c r="R34" s="1823">
        <v>57659600</v>
      </c>
      <c r="S34" s="1816">
        <v>0</v>
      </c>
      <c r="T34" s="1821">
        <f t="shared" si="15"/>
        <v>0.4636044652993751</v>
      </c>
      <c r="U34" s="1821">
        <f t="shared" si="15"/>
        <v>0</v>
      </c>
      <c r="V34" s="1153">
        <v>45310</v>
      </c>
      <c r="W34" s="221">
        <v>45657</v>
      </c>
      <c r="X34" s="101" t="s">
        <v>5647</v>
      </c>
      <c r="Y34" s="3010"/>
      <c r="Z34" s="1281"/>
    </row>
    <row r="35" spans="1:26" ht="16.5" customHeight="1">
      <c r="A35" s="1811"/>
      <c r="B35" s="1813">
        <v>5103</v>
      </c>
      <c r="C35" s="1824" t="s">
        <v>101</v>
      </c>
      <c r="D35" s="85" t="s">
        <v>2469</v>
      </c>
      <c r="E35" s="1809"/>
      <c r="F35" s="111"/>
      <c r="G35" s="1809"/>
      <c r="H35" s="1809"/>
      <c r="I35" s="1809"/>
      <c r="J35" s="1809"/>
      <c r="K35" s="1809"/>
      <c r="L35" s="1818"/>
      <c r="M35" s="128"/>
      <c r="N35" s="128"/>
      <c r="O35" s="128"/>
      <c r="P35" s="1633"/>
      <c r="Q35" s="1633"/>
      <c r="R35" s="1633"/>
      <c r="S35" s="1633"/>
      <c r="T35" s="1633"/>
      <c r="U35" s="655"/>
      <c r="V35" s="1809"/>
      <c r="W35" s="1809"/>
      <c r="X35" s="101"/>
      <c r="Y35" s="1809"/>
      <c r="Z35" s="1281"/>
    </row>
    <row r="36" spans="1:26" ht="16.5" customHeight="1">
      <c r="A36" s="1811"/>
      <c r="B36" s="1637">
        <v>5103001</v>
      </c>
      <c r="C36" s="1819" t="s">
        <v>102</v>
      </c>
      <c r="D36" s="93" t="s">
        <v>2470</v>
      </c>
      <c r="E36" s="1809"/>
      <c r="F36" s="111"/>
      <c r="G36" s="1809"/>
      <c r="H36" s="1809"/>
      <c r="I36" s="1809"/>
      <c r="J36" s="1809"/>
      <c r="K36" s="1809"/>
      <c r="L36" s="1818"/>
      <c r="M36" s="128"/>
      <c r="N36" s="128"/>
      <c r="O36" s="128"/>
      <c r="P36" s="1633"/>
      <c r="Q36" s="1633"/>
      <c r="R36" s="1633"/>
      <c r="S36" s="1633"/>
      <c r="T36" s="1633"/>
      <c r="U36" s="655"/>
      <c r="V36" s="1809"/>
      <c r="W36" s="1809"/>
      <c r="X36" s="101"/>
      <c r="Y36" s="1809"/>
      <c r="Z36" s="1281"/>
    </row>
    <row r="37" spans="1:26" s="45" customFormat="1" ht="25.5" customHeight="1">
      <c r="A37" s="1811"/>
      <c r="B37" s="1637">
        <v>51030010003</v>
      </c>
      <c r="C37" s="1819" t="s">
        <v>103</v>
      </c>
      <c r="D37" s="93" t="s">
        <v>4149</v>
      </c>
      <c r="E37" s="1809"/>
      <c r="F37" s="111">
        <f>K38</f>
        <v>1</v>
      </c>
      <c r="G37" s="1809"/>
      <c r="H37" s="605">
        <f t="shared" ref="H37:H38" si="16">+H38</f>
        <v>0</v>
      </c>
      <c r="I37" s="1809"/>
      <c r="J37" s="1809"/>
      <c r="K37" s="128">
        <f t="shared" ref="K37:K38" si="17">+K38</f>
        <v>1</v>
      </c>
      <c r="L37" s="1818"/>
      <c r="M37" s="128"/>
      <c r="N37" s="128"/>
      <c r="O37" s="128"/>
      <c r="P37" s="1633"/>
      <c r="Q37" s="1633"/>
      <c r="R37" s="1633"/>
      <c r="S37" s="1633"/>
      <c r="T37" s="1633"/>
      <c r="U37" s="655"/>
      <c r="V37" s="1809"/>
      <c r="W37" s="1809"/>
      <c r="X37" s="101"/>
      <c r="Y37" s="1809"/>
      <c r="Z37" s="1281"/>
    </row>
    <row r="38" spans="1:26" ht="16.5" customHeight="1">
      <c r="A38" s="2969">
        <v>4171</v>
      </c>
      <c r="B38" s="3298"/>
      <c r="C38" s="3300" t="s">
        <v>109</v>
      </c>
      <c r="D38" s="2852" t="s">
        <v>4150</v>
      </c>
      <c r="E38" s="128" t="s">
        <v>4151</v>
      </c>
      <c r="F38" s="111"/>
      <c r="G38" s="1809"/>
      <c r="H38" s="605">
        <f t="shared" si="16"/>
        <v>0</v>
      </c>
      <c r="I38" s="1809"/>
      <c r="J38" s="1809"/>
      <c r="K38" s="128">
        <f t="shared" si="17"/>
        <v>1</v>
      </c>
      <c r="L38" s="1443">
        <f>+L39</f>
        <v>1</v>
      </c>
      <c r="M38" s="605">
        <f>M39</f>
        <v>0</v>
      </c>
      <c r="N38" s="1822">
        <f>SUM(N39)</f>
        <v>0.1</v>
      </c>
      <c r="O38" s="3302">
        <f>IF(Q38&gt;0,N38,"na")</f>
        <v>0.1</v>
      </c>
      <c r="P38" s="1634">
        <f t="shared" ref="P38:S38" si="18">P39</f>
        <v>750000000</v>
      </c>
      <c r="Q38" s="1634">
        <f t="shared" si="18"/>
        <v>750000000</v>
      </c>
      <c r="R38" s="1634">
        <f t="shared" si="18"/>
        <v>750000000</v>
      </c>
      <c r="S38" s="1634">
        <f t="shared" si="18"/>
        <v>0</v>
      </c>
      <c r="T38" s="1294">
        <f t="shared" ref="T38:U39" si="19">IF(Q38=0,0,R38/Q38)</f>
        <v>1</v>
      </c>
      <c r="U38" s="1294">
        <f t="shared" si="19"/>
        <v>0</v>
      </c>
      <c r="V38" s="1815"/>
      <c r="W38" s="1815"/>
      <c r="X38" s="101"/>
      <c r="Y38" s="2853" t="s">
        <v>4152</v>
      </c>
      <c r="Z38" s="1281"/>
    </row>
    <row r="39" spans="1:26" ht="94.5" customHeight="1">
      <c r="A39" s="3010"/>
      <c r="B39" s="3303"/>
      <c r="C39" s="3304"/>
      <c r="D39" s="3010"/>
      <c r="E39" s="128" t="s">
        <v>4153</v>
      </c>
      <c r="F39" s="111"/>
      <c r="G39" s="92" t="s">
        <v>4149</v>
      </c>
      <c r="H39" s="605">
        <f>M39</f>
        <v>0</v>
      </c>
      <c r="I39" s="92" t="s">
        <v>4154</v>
      </c>
      <c r="J39" s="92" t="s">
        <v>193</v>
      </c>
      <c r="K39" s="128">
        <v>1</v>
      </c>
      <c r="L39" s="1443">
        <v>1</v>
      </c>
      <c r="M39" s="1642">
        <v>0</v>
      </c>
      <c r="N39" s="1822">
        <v>0.1</v>
      </c>
      <c r="O39" s="3299"/>
      <c r="P39" s="1634">
        <v>750000000</v>
      </c>
      <c r="Q39" s="1634">
        <v>750000000</v>
      </c>
      <c r="R39" s="1634">
        <v>750000000</v>
      </c>
      <c r="S39" s="1634">
        <v>0</v>
      </c>
      <c r="T39" s="1821">
        <f t="shared" si="19"/>
        <v>1</v>
      </c>
      <c r="U39" s="1821">
        <f t="shared" si="19"/>
        <v>0</v>
      </c>
      <c r="V39" s="1153">
        <v>45310</v>
      </c>
      <c r="W39" s="221">
        <v>45657</v>
      </c>
      <c r="X39" s="101" t="s">
        <v>5648</v>
      </c>
      <c r="Y39" s="3010"/>
      <c r="Z39" s="1281"/>
    </row>
    <row r="40" spans="1:26">
      <c r="A40" s="1811"/>
      <c r="B40" s="1813">
        <v>5104</v>
      </c>
      <c r="C40" s="1824" t="s">
        <v>101</v>
      </c>
      <c r="D40" s="85" t="s">
        <v>1950</v>
      </c>
      <c r="E40" s="1809"/>
      <c r="F40" s="111"/>
      <c r="G40" s="1809"/>
      <c r="H40" s="1809"/>
      <c r="I40" s="1809"/>
      <c r="J40" s="1809"/>
      <c r="K40" s="1809"/>
      <c r="L40" s="1818"/>
      <c r="M40" s="128"/>
      <c r="N40" s="128"/>
      <c r="O40" s="128"/>
      <c r="P40" s="1633"/>
      <c r="Q40" s="1633"/>
      <c r="R40" s="1633"/>
      <c r="S40" s="1633"/>
      <c r="T40" s="1633"/>
      <c r="U40" s="655"/>
      <c r="V40" s="1809"/>
      <c r="W40" s="1809"/>
      <c r="X40" s="101"/>
      <c r="Y40" s="1809"/>
      <c r="Z40" s="1281"/>
    </row>
    <row r="41" spans="1:26" ht="16.5" customHeight="1">
      <c r="A41" s="1811"/>
      <c r="B41" s="1813">
        <v>5104001</v>
      </c>
      <c r="C41" s="1814" t="s">
        <v>102</v>
      </c>
      <c r="D41" s="93" t="s">
        <v>1951</v>
      </c>
      <c r="E41" s="1809"/>
      <c r="F41" s="111"/>
      <c r="G41" s="1809"/>
      <c r="H41" s="1809"/>
      <c r="I41" s="1809"/>
      <c r="J41" s="1809"/>
      <c r="K41" s="1809"/>
      <c r="L41" s="1818"/>
      <c r="M41" s="128"/>
      <c r="N41" s="128"/>
      <c r="O41" s="128"/>
      <c r="P41" s="1633"/>
      <c r="Q41" s="1633"/>
      <c r="R41" s="1633"/>
      <c r="S41" s="1633"/>
      <c r="T41" s="1633"/>
      <c r="U41" s="655"/>
      <c r="V41" s="1809"/>
      <c r="W41" s="1809"/>
      <c r="X41" s="101"/>
      <c r="Y41" s="1809"/>
      <c r="Z41" s="1281"/>
    </row>
    <row r="42" spans="1:26" s="45" customFormat="1" ht="38.25" customHeight="1">
      <c r="A42" s="1811"/>
      <c r="B42" s="1637">
        <v>51040010001</v>
      </c>
      <c r="C42" s="1819" t="s">
        <v>103</v>
      </c>
      <c r="D42" s="93" t="s">
        <v>4155</v>
      </c>
      <c r="E42" s="1809"/>
      <c r="F42" s="111">
        <f>K43+K46+K49</f>
        <v>730</v>
      </c>
      <c r="G42" s="1809"/>
      <c r="H42" s="605">
        <f>+H43+H46+H49</f>
        <v>0</v>
      </c>
      <c r="I42" s="1809"/>
      <c r="J42" s="1809"/>
      <c r="K42" s="128">
        <f>+K43+K46+K49</f>
        <v>730</v>
      </c>
      <c r="L42" s="1818"/>
      <c r="M42" s="128"/>
      <c r="N42" s="128"/>
      <c r="O42" s="935"/>
      <c r="P42" s="1633"/>
      <c r="Q42" s="1633"/>
      <c r="R42" s="1633"/>
      <c r="S42" s="1633"/>
      <c r="T42" s="1633"/>
      <c r="U42" s="655"/>
      <c r="V42" s="1809"/>
      <c r="W42" s="1809"/>
      <c r="X42" s="101"/>
      <c r="Y42" s="1809"/>
      <c r="Z42" s="1281"/>
    </row>
    <row r="43" spans="1:26" ht="16.5" customHeight="1">
      <c r="A43" s="2969">
        <v>4171</v>
      </c>
      <c r="B43" s="3305"/>
      <c r="C43" s="3306" t="s">
        <v>109</v>
      </c>
      <c r="D43" s="2852" t="s">
        <v>4156</v>
      </c>
      <c r="E43" s="128" t="s">
        <v>4157</v>
      </c>
      <c r="F43" s="111"/>
      <c r="G43" s="1809"/>
      <c r="H43" s="605">
        <f>+H45</f>
        <v>0</v>
      </c>
      <c r="I43" s="1809"/>
      <c r="J43" s="1809"/>
      <c r="K43" s="128">
        <f>+K45</f>
        <v>180</v>
      </c>
      <c r="L43" s="1443">
        <f>+L44+L45</f>
        <v>1</v>
      </c>
      <c r="M43" s="605">
        <f>M45</f>
        <v>0</v>
      </c>
      <c r="N43" s="1825">
        <f>SUM(N44:N45)</f>
        <v>0.05</v>
      </c>
      <c r="O43" s="2922">
        <f>IF(Q43&gt;0,N43,"na")</f>
        <v>0.05</v>
      </c>
      <c r="P43" s="1816">
        <f t="shared" ref="P43:S43" si="20">SUM(P44:P45)</f>
        <v>412539990</v>
      </c>
      <c r="Q43" s="1634">
        <f t="shared" si="20"/>
        <v>412539990</v>
      </c>
      <c r="R43" s="1634">
        <f t="shared" si="20"/>
        <v>412539990</v>
      </c>
      <c r="S43" s="1634">
        <f t="shared" si="20"/>
        <v>0</v>
      </c>
      <c r="T43" s="1294">
        <f t="shared" ref="T43:U52" si="21">IF(Q43=0,0,R43/Q43)</f>
        <v>1</v>
      </c>
      <c r="U43" s="1294">
        <f t="shared" si="21"/>
        <v>0</v>
      </c>
      <c r="V43" s="1815"/>
      <c r="W43" s="1815"/>
      <c r="X43" s="101"/>
      <c r="Y43" s="2853" t="s">
        <v>4152</v>
      </c>
      <c r="Z43" s="1281"/>
    </row>
    <row r="44" spans="1:26" ht="40.5" customHeight="1">
      <c r="A44" s="3009"/>
      <c r="B44" s="3303"/>
      <c r="C44" s="3304"/>
      <c r="D44" s="3009"/>
      <c r="E44" s="128" t="s">
        <v>4158</v>
      </c>
      <c r="F44" s="3112"/>
      <c r="G44" s="1809"/>
      <c r="H44" s="1809"/>
      <c r="I44" s="92" t="s">
        <v>4159</v>
      </c>
      <c r="J44" s="92" t="s">
        <v>4160</v>
      </c>
      <c r="K44" s="128">
        <v>1</v>
      </c>
      <c r="L44" s="1443">
        <v>0.2</v>
      </c>
      <c r="M44" s="1642">
        <v>0</v>
      </c>
      <c r="N44" s="1825">
        <v>0</v>
      </c>
      <c r="O44" s="3009"/>
      <c r="P44" s="1816">
        <v>8679990</v>
      </c>
      <c r="Q44" s="1634">
        <v>8679990</v>
      </c>
      <c r="R44" s="1634">
        <v>8679990</v>
      </c>
      <c r="S44" s="1634">
        <v>0</v>
      </c>
      <c r="T44" s="1821">
        <f t="shared" si="21"/>
        <v>1</v>
      </c>
      <c r="U44" s="1821">
        <f t="shared" si="21"/>
        <v>0</v>
      </c>
      <c r="V44" s="1153">
        <v>45455</v>
      </c>
      <c r="W44" s="221">
        <v>45626</v>
      </c>
      <c r="X44" s="1826" t="s">
        <v>5649</v>
      </c>
      <c r="Y44" s="3009"/>
      <c r="Z44" s="1281"/>
    </row>
    <row r="45" spans="1:26" ht="67.5" customHeight="1">
      <c r="A45" s="3010"/>
      <c r="B45" s="3299"/>
      <c r="C45" s="3301"/>
      <c r="D45" s="3010"/>
      <c r="E45" s="128" t="s">
        <v>4161</v>
      </c>
      <c r="F45" s="3010"/>
      <c r="G45" s="92" t="s">
        <v>4162</v>
      </c>
      <c r="H45" s="605">
        <f>M45</f>
        <v>0</v>
      </c>
      <c r="I45" s="92" t="s">
        <v>4163</v>
      </c>
      <c r="J45" s="92" t="s">
        <v>4164</v>
      </c>
      <c r="K45" s="128">
        <v>180</v>
      </c>
      <c r="L45" s="1443">
        <v>0.8</v>
      </c>
      <c r="M45" s="1642">
        <v>0</v>
      </c>
      <c r="N45" s="1825">
        <v>0.05</v>
      </c>
      <c r="O45" s="3010"/>
      <c r="P45" s="1816">
        <v>403860000</v>
      </c>
      <c r="Q45" s="1634">
        <v>403860000</v>
      </c>
      <c r="R45" s="1634">
        <v>403860000</v>
      </c>
      <c r="S45" s="1634">
        <v>0</v>
      </c>
      <c r="T45" s="1821">
        <f t="shared" si="21"/>
        <v>1</v>
      </c>
      <c r="U45" s="1821">
        <f t="shared" si="21"/>
        <v>0</v>
      </c>
      <c r="V45" s="1153">
        <v>45455</v>
      </c>
      <c r="W45" s="221">
        <v>45626</v>
      </c>
      <c r="X45" s="101" t="s">
        <v>5650</v>
      </c>
      <c r="Y45" s="3010"/>
      <c r="Z45" s="1281"/>
    </row>
    <row r="46" spans="1:26" ht="16.5" customHeight="1">
      <c r="A46" s="2969">
        <v>4171</v>
      </c>
      <c r="B46" s="3298"/>
      <c r="C46" s="3300" t="s">
        <v>109</v>
      </c>
      <c r="D46" s="2852" t="s">
        <v>4165</v>
      </c>
      <c r="E46" s="128" t="s">
        <v>4166</v>
      </c>
      <c r="F46" s="111"/>
      <c r="G46" s="1809"/>
      <c r="H46" s="605">
        <f>+H48</f>
        <v>0</v>
      </c>
      <c r="I46" s="1809"/>
      <c r="J46" s="1809"/>
      <c r="K46" s="128">
        <f>+K48</f>
        <v>150</v>
      </c>
      <c r="L46" s="1443">
        <f>+L47+L48</f>
        <v>1</v>
      </c>
      <c r="M46" s="605">
        <f>M48</f>
        <v>0</v>
      </c>
      <c r="N46" s="1825">
        <f>SUM(N47:N48)</f>
        <v>0.05</v>
      </c>
      <c r="O46" s="2922">
        <f>IF(Q46&gt;0,N46,"na")</f>
        <v>0.05</v>
      </c>
      <c r="P46" s="1816">
        <f t="shared" ref="P46:S46" si="22">SUM(P47:P48)</f>
        <v>540000000</v>
      </c>
      <c r="Q46" s="1634">
        <f t="shared" si="22"/>
        <v>540000000</v>
      </c>
      <c r="R46" s="1634">
        <f t="shared" si="22"/>
        <v>540000000</v>
      </c>
      <c r="S46" s="1634">
        <f t="shared" si="22"/>
        <v>0</v>
      </c>
      <c r="T46" s="1294">
        <f t="shared" si="21"/>
        <v>1</v>
      </c>
      <c r="U46" s="1294">
        <f t="shared" si="21"/>
        <v>0</v>
      </c>
      <c r="V46" s="1815"/>
      <c r="W46" s="1815"/>
      <c r="X46" s="101"/>
      <c r="Y46" s="2853" t="s">
        <v>4152</v>
      </c>
      <c r="Z46" s="1281"/>
    </row>
    <row r="47" spans="1:26" ht="40.5" customHeight="1">
      <c r="A47" s="3009"/>
      <c r="B47" s="3303"/>
      <c r="C47" s="3304"/>
      <c r="D47" s="3009"/>
      <c r="E47" s="128" t="s">
        <v>4167</v>
      </c>
      <c r="F47" s="3112"/>
      <c r="G47" s="1809"/>
      <c r="H47" s="1809"/>
      <c r="I47" s="92" t="s">
        <v>4159</v>
      </c>
      <c r="J47" s="92" t="s">
        <v>4160</v>
      </c>
      <c r="K47" s="128">
        <v>1</v>
      </c>
      <c r="L47" s="1443">
        <v>0.2</v>
      </c>
      <c r="M47" s="1642">
        <v>0</v>
      </c>
      <c r="N47" s="1825">
        <v>0</v>
      </c>
      <c r="O47" s="3009"/>
      <c r="P47" s="1816">
        <v>3700000</v>
      </c>
      <c r="Q47" s="1634">
        <v>3700000</v>
      </c>
      <c r="R47" s="1634">
        <v>3700000</v>
      </c>
      <c r="S47" s="1634">
        <v>0</v>
      </c>
      <c r="T47" s="1821">
        <f t="shared" si="21"/>
        <v>1</v>
      </c>
      <c r="U47" s="1821">
        <f t="shared" si="21"/>
        <v>0</v>
      </c>
      <c r="V47" s="1153">
        <v>45455</v>
      </c>
      <c r="W47" s="221">
        <v>45626</v>
      </c>
      <c r="X47" s="101" t="s">
        <v>5651</v>
      </c>
      <c r="Y47" s="3009"/>
      <c r="Z47" s="1281"/>
    </row>
    <row r="48" spans="1:26" ht="67.5" customHeight="1">
      <c r="A48" s="3010"/>
      <c r="B48" s="3299"/>
      <c r="C48" s="3301"/>
      <c r="D48" s="3010"/>
      <c r="E48" s="128" t="s">
        <v>4168</v>
      </c>
      <c r="F48" s="3010"/>
      <c r="G48" s="92" t="s">
        <v>4162</v>
      </c>
      <c r="H48" s="605">
        <f>M48</f>
        <v>0</v>
      </c>
      <c r="I48" s="92" t="s">
        <v>4169</v>
      </c>
      <c r="J48" s="92" t="s">
        <v>4170</v>
      </c>
      <c r="K48" s="128">
        <v>150</v>
      </c>
      <c r="L48" s="1443">
        <v>0.8</v>
      </c>
      <c r="M48" s="1642">
        <v>0</v>
      </c>
      <c r="N48" s="1825">
        <v>0.05</v>
      </c>
      <c r="O48" s="3010"/>
      <c r="P48" s="1816">
        <v>536300000</v>
      </c>
      <c r="Q48" s="1634">
        <v>536300000</v>
      </c>
      <c r="R48" s="1634">
        <v>536300000</v>
      </c>
      <c r="S48" s="1634">
        <v>0</v>
      </c>
      <c r="T48" s="1821">
        <f t="shared" si="21"/>
        <v>1</v>
      </c>
      <c r="U48" s="1821">
        <f t="shared" si="21"/>
        <v>0</v>
      </c>
      <c r="V48" s="1153">
        <v>45455</v>
      </c>
      <c r="W48" s="221">
        <v>45626</v>
      </c>
      <c r="X48" s="101" t="s">
        <v>5652</v>
      </c>
      <c r="Y48" s="3010"/>
      <c r="Z48" s="1281"/>
    </row>
    <row r="49" spans="1:26" s="45" customFormat="1" ht="13.5" customHeight="1">
      <c r="A49" s="2969"/>
      <c r="B49" s="2969"/>
      <c r="C49" s="2969" t="s">
        <v>109</v>
      </c>
      <c r="D49" s="2852" t="s">
        <v>5653</v>
      </c>
      <c r="E49" s="128" t="s">
        <v>5654</v>
      </c>
      <c r="F49" s="111"/>
      <c r="G49" s="92"/>
      <c r="H49" s="605">
        <f>H51</f>
        <v>0</v>
      </c>
      <c r="I49" s="92"/>
      <c r="J49" s="92"/>
      <c r="K49" s="128">
        <f>K51</f>
        <v>400</v>
      </c>
      <c r="L49" s="1443">
        <f>SUM(L50:L52)</f>
        <v>1</v>
      </c>
      <c r="M49" s="1642">
        <f>M51</f>
        <v>0</v>
      </c>
      <c r="N49" s="1825">
        <f>SUM(N50:N52)</f>
        <v>0</v>
      </c>
      <c r="O49" s="2922">
        <f>IF(Q49&gt;0,N49,"na")</f>
        <v>0</v>
      </c>
      <c r="P49" s="1816">
        <f t="shared" ref="P49:S49" si="23">SUM(P50:P52)</f>
        <v>0</v>
      </c>
      <c r="Q49" s="1816">
        <f t="shared" si="23"/>
        <v>1000000000</v>
      </c>
      <c r="R49" s="1816">
        <f t="shared" si="23"/>
        <v>0</v>
      </c>
      <c r="S49" s="1816">
        <f t="shared" si="23"/>
        <v>0</v>
      </c>
      <c r="T49" s="1821">
        <f t="shared" si="21"/>
        <v>0</v>
      </c>
      <c r="U49" s="1821">
        <f t="shared" si="21"/>
        <v>0</v>
      </c>
      <c r="V49" s="1153"/>
      <c r="W49" s="221"/>
      <c r="X49" s="101"/>
      <c r="Y49" s="2853" t="s">
        <v>4152</v>
      </c>
      <c r="Z49" s="1281"/>
    </row>
    <row r="50" spans="1:26" ht="16.5" customHeight="1">
      <c r="A50" s="3009"/>
      <c r="B50" s="3009"/>
      <c r="C50" s="3009"/>
      <c r="D50" s="3009"/>
      <c r="E50" s="128" t="s">
        <v>5655</v>
      </c>
      <c r="F50" s="111"/>
      <c r="G50" s="92"/>
      <c r="H50" s="605"/>
      <c r="I50" s="92" t="s">
        <v>4159</v>
      </c>
      <c r="J50" s="92" t="s">
        <v>4160</v>
      </c>
      <c r="K50" s="128">
        <v>1</v>
      </c>
      <c r="L50" s="1443">
        <v>0.2</v>
      </c>
      <c r="M50" s="1642">
        <v>0</v>
      </c>
      <c r="N50" s="1825">
        <v>0</v>
      </c>
      <c r="O50" s="3009"/>
      <c r="P50" s="1816">
        <v>0</v>
      </c>
      <c r="Q50" s="1634">
        <v>37897000</v>
      </c>
      <c r="R50" s="1634">
        <v>0</v>
      </c>
      <c r="S50" s="1634">
        <v>0</v>
      </c>
      <c r="T50" s="1821">
        <f t="shared" si="21"/>
        <v>0</v>
      </c>
      <c r="U50" s="1821">
        <f t="shared" si="21"/>
        <v>0</v>
      </c>
      <c r="V50" s="1153"/>
      <c r="W50" s="221"/>
      <c r="X50" s="101"/>
      <c r="Y50" s="3009"/>
      <c r="Z50" s="1281"/>
    </row>
    <row r="51" spans="1:26" ht="40.5">
      <c r="A51" s="3009"/>
      <c r="B51" s="3009"/>
      <c r="C51" s="3009"/>
      <c r="D51" s="3009"/>
      <c r="E51" s="128" t="s">
        <v>5656</v>
      </c>
      <c r="F51" s="111"/>
      <c r="G51" s="92" t="s">
        <v>4162</v>
      </c>
      <c r="H51" s="605">
        <f>M51</f>
        <v>0</v>
      </c>
      <c r="I51" s="92" t="s">
        <v>4169</v>
      </c>
      <c r="J51" s="92" t="s">
        <v>4170</v>
      </c>
      <c r="K51" s="128">
        <v>400</v>
      </c>
      <c r="L51" s="1443">
        <v>0.5</v>
      </c>
      <c r="M51" s="1642">
        <v>0</v>
      </c>
      <c r="N51" s="1825">
        <v>0</v>
      </c>
      <c r="O51" s="3009"/>
      <c r="P51" s="1816">
        <v>0</v>
      </c>
      <c r="Q51" s="1634">
        <v>874701000</v>
      </c>
      <c r="R51" s="1634">
        <v>0</v>
      </c>
      <c r="S51" s="1634">
        <v>0</v>
      </c>
      <c r="T51" s="1821">
        <f t="shared" si="21"/>
        <v>0</v>
      </c>
      <c r="U51" s="1821">
        <f t="shared" si="21"/>
        <v>0</v>
      </c>
      <c r="V51" s="1153"/>
      <c r="W51" s="221"/>
      <c r="X51" s="101"/>
      <c r="Y51" s="3009"/>
      <c r="Z51" s="1281"/>
    </row>
    <row r="52" spans="1:26" ht="54" customHeight="1">
      <c r="A52" s="3010"/>
      <c r="B52" s="3010"/>
      <c r="C52" s="3010"/>
      <c r="D52" s="3010"/>
      <c r="E52" s="128" t="s">
        <v>5657</v>
      </c>
      <c r="F52" s="111"/>
      <c r="G52" s="92"/>
      <c r="H52" s="605"/>
      <c r="I52" s="92" t="s">
        <v>5658</v>
      </c>
      <c r="J52" s="92" t="s">
        <v>4189</v>
      </c>
      <c r="K52" s="128">
        <v>1</v>
      </c>
      <c r="L52" s="1443">
        <v>0.3</v>
      </c>
      <c r="M52" s="1642">
        <v>0</v>
      </c>
      <c r="N52" s="1825">
        <v>0</v>
      </c>
      <c r="O52" s="3010"/>
      <c r="P52" s="1816">
        <v>0</v>
      </c>
      <c r="Q52" s="1634">
        <v>87402000</v>
      </c>
      <c r="R52" s="1634">
        <v>0</v>
      </c>
      <c r="S52" s="1634">
        <v>0</v>
      </c>
      <c r="T52" s="1821">
        <f t="shared" si="21"/>
        <v>0</v>
      </c>
      <c r="U52" s="1821">
        <f t="shared" si="21"/>
        <v>0</v>
      </c>
      <c r="V52" s="1153"/>
      <c r="W52" s="221"/>
      <c r="X52" s="101"/>
      <c r="Y52" s="3010"/>
      <c r="Z52" s="1281"/>
    </row>
    <row r="53" spans="1:26" ht="54" customHeight="1">
      <c r="A53" s="1811"/>
      <c r="B53" s="1813">
        <v>51040010004</v>
      </c>
      <c r="C53" s="1814" t="s">
        <v>103</v>
      </c>
      <c r="D53" s="93" t="s">
        <v>4171</v>
      </c>
      <c r="E53" s="1809"/>
      <c r="F53" s="111">
        <f>K54</f>
        <v>2000</v>
      </c>
      <c r="G53" s="1809"/>
      <c r="H53" s="605">
        <f>+H54</f>
        <v>0</v>
      </c>
      <c r="I53" s="1809"/>
      <c r="J53" s="1809"/>
      <c r="K53" s="128">
        <f>+K54</f>
        <v>2000</v>
      </c>
      <c r="L53" s="1818"/>
      <c r="M53" s="128"/>
      <c r="N53" s="128"/>
      <c r="O53" s="128"/>
      <c r="P53" s="1633"/>
      <c r="Q53" s="1633"/>
      <c r="R53" s="1633"/>
      <c r="S53" s="1633"/>
      <c r="T53" s="1633"/>
      <c r="U53" s="655"/>
      <c r="V53" s="1809"/>
      <c r="W53" s="1809"/>
      <c r="X53" s="101"/>
      <c r="Y53" s="1809"/>
      <c r="Z53" s="1281"/>
    </row>
    <row r="54" spans="1:26" s="45" customFormat="1" ht="14.25">
      <c r="A54" s="2969">
        <v>4171</v>
      </c>
      <c r="B54" s="3305"/>
      <c r="C54" s="3306" t="s">
        <v>109</v>
      </c>
      <c r="D54" s="2852" t="s">
        <v>4172</v>
      </c>
      <c r="E54" s="128" t="s">
        <v>4173</v>
      </c>
      <c r="F54" s="111"/>
      <c r="G54" s="1809"/>
      <c r="H54" s="605">
        <f>+H56</f>
        <v>0</v>
      </c>
      <c r="I54" s="1809"/>
      <c r="J54" s="1809"/>
      <c r="K54" s="128">
        <f>+K56</f>
        <v>2000</v>
      </c>
      <c r="L54" s="1443">
        <f>+L55+L56+L57</f>
        <v>1</v>
      </c>
      <c r="M54" s="605">
        <f>M56</f>
        <v>0</v>
      </c>
      <c r="N54" s="1822">
        <f>SUM(N55:N57)</f>
        <v>0</v>
      </c>
      <c r="O54" s="3302">
        <f>IF(Q54&gt;0,N54,"na")</f>
        <v>0</v>
      </c>
      <c r="P54" s="1634">
        <f t="shared" ref="P54:S54" si="24">SUM(P55:P57)</f>
        <v>100000000</v>
      </c>
      <c r="Q54" s="1634">
        <f t="shared" si="24"/>
        <v>100000000</v>
      </c>
      <c r="R54" s="1634">
        <f t="shared" si="24"/>
        <v>0</v>
      </c>
      <c r="S54" s="1634">
        <f t="shared" si="24"/>
        <v>0</v>
      </c>
      <c r="T54" s="1294">
        <f t="shared" ref="T54:U57" si="25">IF(Q54=0,0,R54/Q54)</f>
        <v>0</v>
      </c>
      <c r="U54" s="1294">
        <f t="shared" si="25"/>
        <v>0</v>
      </c>
      <c r="V54" s="1815"/>
      <c r="W54" s="1815"/>
      <c r="X54" s="101"/>
      <c r="Y54" s="2853" t="s">
        <v>4152</v>
      </c>
      <c r="Z54" s="1281"/>
    </row>
    <row r="55" spans="1:26" ht="16.5" customHeight="1">
      <c r="A55" s="3009"/>
      <c r="B55" s="3303"/>
      <c r="C55" s="3304"/>
      <c r="D55" s="3009"/>
      <c r="E55" s="128" t="s">
        <v>4174</v>
      </c>
      <c r="F55" s="3112"/>
      <c r="G55" s="1809"/>
      <c r="H55" s="1809"/>
      <c r="I55" s="92" t="s">
        <v>4159</v>
      </c>
      <c r="J55" s="92" t="s">
        <v>110</v>
      </c>
      <c r="K55" s="128">
        <v>1</v>
      </c>
      <c r="L55" s="1443">
        <v>0.2</v>
      </c>
      <c r="M55" s="1642">
        <v>0</v>
      </c>
      <c r="N55" s="1822">
        <v>0</v>
      </c>
      <c r="O55" s="3303"/>
      <c r="P55" s="1634">
        <v>25500000</v>
      </c>
      <c r="Q55" s="1634">
        <v>25500000</v>
      </c>
      <c r="R55" s="1634">
        <v>0</v>
      </c>
      <c r="S55" s="1634">
        <v>0</v>
      </c>
      <c r="T55" s="1821">
        <f t="shared" si="25"/>
        <v>0</v>
      </c>
      <c r="U55" s="1821">
        <f t="shared" si="25"/>
        <v>0</v>
      </c>
      <c r="V55" s="1153"/>
      <c r="W55" s="221"/>
      <c r="X55" s="101"/>
      <c r="Y55" s="3009"/>
      <c r="Z55" s="1281"/>
    </row>
    <row r="56" spans="1:26" ht="40.5" customHeight="1">
      <c r="A56" s="3009"/>
      <c r="B56" s="3303"/>
      <c r="C56" s="3304"/>
      <c r="D56" s="3009"/>
      <c r="E56" s="128" t="s">
        <v>4175</v>
      </c>
      <c r="F56" s="3009"/>
      <c r="G56" s="92" t="s">
        <v>4176</v>
      </c>
      <c r="H56" s="605">
        <f>M56</f>
        <v>0</v>
      </c>
      <c r="I56" s="92" t="s">
        <v>4177</v>
      </c>
      <c r="J56" s="92" t="s">
        <v>2504</v>
      </c>
      <c r="K56" s="128">
        <v>2000</v>
      </c>
      <c r="L56" s="1443">
        <v>0.5</v>
      </c>
      <c r="M56" s="1642">
        <v>0</v>
      </c>
      <c r="N56" s="1822">
        <v>0</v>
      </c>
      <c r="O56" s="3303"/>
      <c r="P56" s="1634">
        <v>50500000</v>
      </c>
      <c r="Q56" s="1634">
        <v>50500000</v>
      </c>
      <c r="R56" s="1634">
        <v>0</v>
      </c>
      <c r="S56" s="1634">
        <v>0</v>
      </c>
      <c r="T56" s="1821">
        <f t="shared" si="25"/>
        <v>0</v>
      </c>
      <c r="U56" s="1821">
        <f t="shared" si="25"/>
        <v>0</v>
      </c>
      <c r="V56" s="1153"/>
      <c r="W56" s="221"/>
      <c r="X56" s="101"/>
      <c r="Y56" s="3009"/>
      <c r="Z56" s="1281"/>
    </row>
    <row r="57" spans="1:26" ht="67.5" customHeight="1">
      <c r="A57" s="3010"/>
      <c r="B57" s="3299"/>
      <c r="C57" s="3301"/>
      <c r="D57" s="3010"/>
      <c r="E57" s="128" t="s">
        <v>4178</v>
      </c>
      <c r="F57" s="3010"/>
      <c r="G57" s="1809"/>
      <c r="H57" s="1809"/>
      <c r="I57" s="92" t="s">
        <v>4179</v>
      </c>
      <c r="J57" s="92" t="s">
        <v>2631</v>
      </c>
      <c r="K57" s="128">
        <v>1</v>
      </c>
      <c r="L57" s="1443">
        <v>0.3</v>
      </c>
      <c r="M57" s="1642">
        <v>0</v>
      </c>
      <c r="N57" s="1822">
        <v>0</v>
      </c>
      <c r="O57" s="3299"/>
      <c r="P57" s="1634">
        <v>24000000</v>
      </c>
      <c r="Q57" s="1634">
        <v>24000000</v>
      </c>
      <c r="R57" s="1634">
        <v>0</v>
      </c>
      <c r="S57" s="1634">
        <v>0</v>
      </c>
      <c r="T57" s="1821">
        <f t="shared" si="25"/>
        <v>0</v>
      </c>
      <c r="U57" s="1821">
        <f t="shared" si="25"/>
        <v>0</v>
      </c>
      <c r="V57" s="1153"/>
      <c r="W57" s="221"/>
      <c r="X57" s="101"/>
      <c r="Y57" s="3010"/>
      <c r="Z57" s="1281"/>
    </row>
    <row r="58" spans="1:26" ht="54" customHeight="1">
      <c r="A58" s="1811"/>
      <c r="B58" s="1637">
        <v>51040010005</v>
      </c>
      <c r="C58" s="1819" t="s">
        <v>103</v>
      </c>
      <c r="D58" s="93" t="s">
        <v>4180</v>
      </c>
      <c r="E58" s="1809"/>
      <c r="F58" s="111">
        <f>K59</f>
        <v>100</v>
      </c>
      <c r="G58" s="1809"/>
      <c r="H58" s="605">
        <f>+H59</f>
        <v>0</v>
      </c>
      <c r="I58" s="1809"/>
      <c r="J58" s="1809"/>
      <c r="K58" s="128">
        <f>+K59</f>
        <v>100</v>
      </c>
      <c r="L58" s="1818"/>
      <c r="M58" s="128"/>
      <c r="N58" s="128"/>
      <c r="O58" s="128"/>
      <c r="P58" s="1633"/>
      <c r="Q58" s="1633"/>
      <c r="R58" s="1633"/>
      <c r="S58" s="1633"/>
      <c r="T58" s="1633"/>
      <c r="U58" s="655"/>
      <c r="V58" s="1809"/>
      <c r="W58" s="1809"/>
      <c r="X58" s="101"/>
      <c r="Y58" s="1809"/>
      <c r="Z58" s="1281"/>
    </row>
    <row r="59" spans="1:26">
      <c r="A59" s="2969">
        <v>4171</v>
      </c>
      <c r="B59" s="3298"/>
      <c r="C59" s="3300" t="s">
        <v>109</v>
      </c>
      <c r="D59" s="2852" t="s">
        <v>4181</v>
      </c>
      <c r="E59" s="128" t="s">
        <v>4182</v>
      </c>
      <c r="F59" s="111"/>
      <c r="G59" s="1809"/>
      <c r="H59" s="605">
        <f>+H61</f>
        <v>0</v>
      </c>
      <c r="I59" s="1809"/>
      <c r="J59" s="1809"/>
      <c r="K59" s="128">
        <f>+K61</f>
        <v>100</v>
      </c>
      <c r="L59" s="1443">
        <f>+L60+L61+L62</f>
        <v>1</v>
      </c>
      <c r="M59" s="605">
        <f>M61</f>
        <v>0</v>
      </c>
      <c r="N59" s="1822">
        <f>SUM(N60:N62)</f>
        <v>0.11900000000000001</v>
      </c>
      <c r="O59" s="3302">
        <f>IF(Q59&gt;0,N59,"na")</f>
        <v>0.11900000000000001</v>
      </c>
      <c r="P59" s="1634">
        <f t="shared" ref="P59:S59" si="26">SUM(P60:P62)</f>
        <v>315000000</v>
      </c>
      <c r="Q59" s="1634">
        <f t="shared" si="26"/>
        <v>537834000</v>
      </c>
      <c r="R59" s="1634">
        <f t="shared" si="26"/>
        <v>506286000</v>
      </c>
      <c r="S59" s="1634">
        <f t="shared" si="26"/>
        <v>58842000</v>
      </c>
      <c r="T59" s="1294">
        <f t="shared" ref="T59:U62" si="27">IF(Q59=0,0,R59/Q59)</f>
        <v>0.94134249601178055</v>
      </c>
      <c r="U59" s="1294">
        <f t="shared" si="27"/>
        <v>0.11622284637536887</v>
      </c>
      <c r="V59" s="1815"/>
      <c r="W59" s="1815"/>
      <c r="X59" s="101"/>
      <c r="Y59" s="2853" t="s">
        <v>4152</v>
      </c>
      <c r="Z59" s="1281"/>
    </row>
    <row r="60" spans="1:26" s="45" customFormat="1" ht="25.5" customHeight="1">
      <c r="A60" s="3009"/>
      <c r="B60" s="3303"/>
      <c r="C60" s="3304"/>
      <c r="D60" s="3009"/>
      <c r="E60" s="128" t="s">
        <v>4183</v>
      </c>
      <c r="F60" s="3112"/>
      <c r="G60" s="1809"/>
      <c r="H60" s="1809"/>
      <c r="I60" s="92" t="s">
        <v>4159</v>
      </c>
      <c r="J60" s="92" t="s">
        <v>4160</v>
      </c>
      <c r="K60" s="128">
        <v>1</v>
      </c>
      <c r="L60" s="1443">
        <v>0.2</v>
      </c>
      <c r="M60" s="1642">
        <v>0</v>
      </c>
      <c r="N60" s="1822">
        <v>0.05</v>
      </c>
      <c r="O60" s="3303"/>
      <c r="P60" s="1634">
        <v>18000000</v>
      </c>
      <c r="Q60" s="1634">
        <v>18000000</v>
      </c>
      <c r="R60" s="1634">
        <v>18000000</v>
      </c>
      <c r="S60" s="1634">
        <v>0</v>
      </c>
      <c r="T60" s="1821">
        <f t="shared" si="27"/>
        <v>1</v>
      </c>
      <c r="U60" s="1821">
        <f t="shared" si="27"/>
        <v>0</v>
      </c>
      <c r="V60" s="1153">
        <v>45310</v>
      </c>
      <c r="W60" s="221">
        <v>45657</v>
      </c>
      <c r="X60" s="101" t="s">
        <v>5659</v>
      </c>
      <c r="Y60" s="3009"/>
      <c r="Z60" s="1281"/>
    </row>
    <row r="61" spans="1:26" ht="16.5" customHeight="1">
      <c r="A61" s="3009"/>
      <c r="B61" s="3303"/>
      <c r="C61" s="3304"/>
      <c r="D61" s="3009"/>
      <c r="E61" s="128" t="s">
        <v>4184</v>
      </c>
      <c r="F61" s="3009"/>
      <c r="G61" s="92" t="s">
        <v>4185</v>
      </c>
      <c r="H61" s="605">
        <f>M61</f>
        <v>0</v>
      </c>
      <c r="I61" s="92" t="s">
        <v>4186</v>
      </c>
      <c r="J61" s="92" t="s">
        <v>4170</v>
      </c>
      <c r="K61" s="128">
        <v>100</v>
      </c>
      <c r="L61" s="1443">
        <v>0.5</v>
      </c>
      <c r="M61" s="1642">
        <v>0</v>
      </c>
      <c r="N61" s="1822">
        <v>0</v>
      </c>
      <c r="O61" s="3303"/>
      <c r="P61" s="1634">
        <v>293000000</v>
      </c>
      <c r="Q61" s="1634">
        <v>293000000</v>
      </c>
      <c r="R61" s="1634">
        <v>293000000</v>
      </c>
      <c r="S61" s="1634"/>
      <c r="T61" s="1821">
        <f t="shared" si="27"/>
        <v>1</v>
      </c>
      <c r="U61" s="1821">
        <f t="shared" si="27"/>
        <v>0</v>
      </c>
      <c r="V61" s="1153">
        <v>45310</v>
      </c>
      <c r="W61" s="221">
        <v>45657</v>
      </c>
      <c r="X61" s="101" t="s">
        <v>5660</v>
      </c>
      <c r="Y61" s="3009"/>
      <c r="Z61" s="1281"/>
    </row>
    <row r="62" spans="1:26" ht="94.5" customHeight="1">
      <c r="A62" s="3010"/>
      <c r="B62" s="3299"/>
      <c r="C62" s="3301"/>
      <c r="D62" s="3010"/>
      <c r="E62" s="128" t="s">
        <v>4187</v>
      </c>
      <c r="F62" s="3010"/>
      <c r="G62" s="1809"/>
      <c r="H62" s="1809"/>
      <c r="I62" s="92" t="s">
        <v>4188</v>
      </c>
      <c r="J62" s="92" t="s">
        <v>4189</v>
      </c>
      <c r="K62" s="128">
        <v>1</v>
      </c>
      <c r="L62" s="1443">
        <v>0.3</v>
      </c>
      <c r="M62" s="1642">
        <v>0</v>
      </c>
      <c r="N62" s="1822">
        <v>6.9000000000000006E-2</v>
      </c>
      <c r="O62" s="3299"/>
      <c r="P62" s="1634">
        <v>4000000</v>
      </c>
      <c r="Q62" s="1634">
        <v>226834000</v>
      </c>
      <c r="R62" s="1634">
        <v>195286000</v>
      </c>
      <c r="S62" s="1634">
        <v>58842000</v>
      </c>
      <c r="T62" s="1821">
        <f t="shared" si="27"/>
        <v>0.86092032058686085</v>
      </c>
      <c r="U62" s="1821">
        <f t="shared" si="27"/>
        <v>0.30131192200157719</v>
      </c>
      <c r="V62" s="1153">
        <v>45310</v>
      </c>
      <c r="W62" s="221">
        <v>45657</v>
      </c>
      <c r="X62" s="101" t="s">
        <v>5661</v>
      </c>
      <c r="Y62" s="3010"/>
      <c r="Z62" s="1281"/>
    </row>
    <row r="63" spans="1:26" ht="108" customHeight="1">
      <c r="A63" s="1811"/>
      <c r="B63" s="1637">
        <v>5104002</v>
      </c>
      <c r="C63" s="1819" t="s">
        <v>102</v>
      </c>
      <c r="D63" s="93" t="s">
        <v>4190</v>
      </c>
      <c r="E63" s="1809"/>
      <c r="F63" s="111"/>
      <c r="G63" s="1809"/>
      <c r="H63" s="1809"/>
      <c r="I63" s="1809"/>
      <c r="J63" s="1809"/>
      <c r="K63" s="1809"/>
      <c r="L63" s="1818"/>
      <c r="M63" s="128"/>
      <c r="N63" s="128"/>
      <c r="O63" s="128"/>
      <c r="P63" s="1633"/>
      <c r="Q63" s="1633"/>
      <c r="R63" s="1633"/>
      <c r="S63" s="1633"/>
      <c r="T63" s="1633"/>
      <c r="U63" s="655"/>
      <c r="V63" s="1809"/>
      <c r="W63" s="1809"/>
      <c r="X63" s="101"/>
      <c r="Y63" s="1809"/>
      <c r="Z63" s="1281"/>
    </row>
    <row r="64" spans="1:26" ht="16.5" customHeight="1">
      <c r="A64" s="1811"/>
      <c r="B64" s="1637">
        <v>51040020001</v>
      </c>
      <c r="C64" s="1819" t="s">
        <v>103</v>
      </c>
      <c r="D64" s="93" t="s">
        <v>4191</v>
      </c>
      <c r="E64" s="1809"/>
      <c r="F64" s="111">
        <f>K65+K68+K70+K72+K74+K76+K78+K80+K82+K84+K86+K88+K90+K92+K94+K96+K98+K100+K102</f>
        <v>2153</v>
      </c>
      <c r="G64" s="1809"/>
      <c r="H64" s="605">
        <f>+H65+H68+H70+H72+H74+H76+H78+H80+H82+H84+H86+H88+H90+H92+H94+H96+H98+H100+H102</f>
        <v>0</v>
      </c>
      <c r="I64" s="1809"/>
      <c r="J64" s="1809"/>
      <c r="K64" s="128">
        <f>K65+K68+K70+K72+K74+K76+K78+K80+K82+K84+K86+K88+K90+K92+K94+K96+K98+K100+K102</f>
        <v>2153</v>
      </c>
      <c r="L64" s="1818"/>
      <c r="M64" s="128"/>
      <c r="N64" s="128"/>
      <c r="O64" s="128"/>
      <c r="P64" s="1633"/>
      <c r="Q64" s="1633"/>
      <c r="R64" s="1633"/>
      <c r="S64" s="1633"/>
      <c r="T64" s="1633"/>
      <c r="U64" s="655"/>
      <c r="V64" s="1809"/>
      <c r="W64" s="1809"/>
      <c r="X64" s="101"/>
      <c r="Y64" s="1809"/>
      <c r="Z64" s="1281"/>
    </row>
    <row r="65" spans="1:26" ht="94.5" customHeight="1">
      <c r="A65" s="2969">
        <v>4171</v>
      </c>
      <c r="B65" s="3298"/>
      <c r="C65" s="3300" t="s">
        <v>109</v>
      </c>
      <c r="D65" s="2852" t="s">
        <v>4192</v>
      </c>
      <c r="E65" s="128" t="s">
        <v>4193</v>
      </c>
      <c r="F65" s="111"/>
      <c r="G65" s="1809"/>
      <c r="H65" s="605">
        <f>+H67</f>
        <v>0</v>
      </c>
      <c r="I65" s="1809"/>
      <c r="J65" s="1809"/>
      <c r="K65" s="128">
        <f>+K67</f>
        <v>100</v>
      </c>
      <c r="L65" s="1443">
        <f>+L66+L67</f>
        <v>1</v>
      </c>
      <c r="M65" s="605">
        <f>M67</f>
        <v>0</v>
      </c>
      <c r="N65" s="1822">
        <f>SUM(N66:N67)</f>
        <v>0.25</v>
      </c>
      <c r="O65" s="3302">
        <f>IF(Q65&gt;0,N65,"na")</f>
        <v>0.25</v>
      </c>
      <c r="P65" s="1634">
        <f t="shared" ref="P65:S65" si="28">SUM(P66:P67)</f>
        <v>1186464800</v>
      </c>
      <c r="Q65" s="1634">
        <f t="shared" si="28"/>
        <v>677572008</v>
      </c>
      <c r="R65" s="1634">
        <f t="shared" si="28"/>
        <v>403243003</v>
      </c>
      <c r="S65" s="1634">
        <f t="shared" si="28"/>
        <v>196734003</v>
      </c>
      <c r="T65" s="134">
        <f t="shared" ref="T65:U80" si="29">IF(Q65=0,0,R65/Q65)</f>
        <v>0.59512937110589725</v>
      </c>
      <c r="U65" s="1294">
        <f t="shared" si="29"/>
        <v>0.4878795206274168</v>
      </c>
      <c r="V65" s="1815"/>
      <c r="W65" s="1815"/>
      <c r="X65" s="101"/>
      <c r="Y65" s="2853" t="s">
        <v>4152</v>
      </c>
      <c r="Z65" s="1281"/>
    </row>
    <row r="66" spans="1:26" ht="16.5" customHeight="1">
      <c r="A66" s="3009"/>
      <c r="B66" s="3303"/>
      <c r="C66" s="3304"/>
      <c r="D66" s="3009"/>
      <c r="E66" s="128" t="s">
        <v>4194</v>
      </c>
      <c r="F66" s="111"/>
      <c r="G66" s="1809"/>
      <c r="H66" s="1809"/>
      <c r="I66" s="92" t="s">
        <v>4146</v>
      </c>
      <c r="J66" s="92" t="s">
        <v>156</v>
      </c>
      <c r="K66" s="128">
        <v>1</v>
      </c>
      <c r="L66" s="1443">
        <v>0.3</v>
      </c>
      <c r="M66" s="1642">
        <v>0</v>
      </c>
      <c r="N66" s="1443">
        <v>7.4999999999999997E-2</v>
      </c>
      <c r="O66" s="3303"/>
      <c r="P66" s="1634">
        <v>32340400</v>
      </c>
      <c r="Q66" s="1634">
        <v>32340400</v>
      </c>
      <c r="R66" s="1634">
        <v>31619931</v>
      </c>
      <c r="S66" s="1634">
        <v>31619931</v>
      </c>
      <c r="T66" s="1827">
        <f t="shared" si="29"/>
        <v>0.97772232254393887</v>
      </c>
      <c r="U66" s="1821">
        <f t="shared" si="29"/>
        <v>1</v>
      </c>
      <c r="V66" s="1153">
        <v>45310</v>
      </c>
      <c r="W66" s="221">
        <v>45657</v>
      </c>
      <c r="X66" s="101" t="s">
        <v>5662</v>
      </c>
      <c r="Y66" s="3009"/>
      <c r="Z66" s="1828"/>
    </row>
    <row r="67" spans="1:26" ht="94.5" customHeight="1">
      <c r="A67" s="3010"/>
      <c r="B67" s="3299"/>
      <c r="C67" s="3301"/>
      <c r="D67" s="3010"/>
      <c r="E67" s="128" t="s">
        <v>4195</v>
      </c>
      <c r="F67" s="111"/>
      <c r="G67" s="92" t="s">
        <v>4196</v>
      </c>
      <c r="H67" s="605">
        <f>M67</f>
        <v>0</v>
      </c>
      <c r="I67" s="92" t="s">
        <v>4197</v>
      </c>
      <c r="J67" s="92" t="s">
        <v>4122</v>
      </c>
      <c r="K67" s="128">
        <v>100</v>
      </c>
      <c r="L67" s="1443">
        <v>0.7</v>
      </c>
      <c r="M67" s="1642">
        <v>0</v>
      </c>
      <c r="N67" s="1443">
        <v>0.17499999999999999</v>
      </c>
      <c r="O67" s="3299"/>
      <c r="P67" s="1634">
        <v>1154124400</v>
      </c>
      <c r="Q67" s="1634">
        <v>645231608</v>
      </c>
      <c r="R67" s="1634">
        <v>371623072</v>
      </c>
      <c r="S67" s="1634">
        <v>165114072</v>
      </c>
      <c r="T67" s="1827">
        <f t="shared" si="29"/>
        <v>0.57595298710164866</v>
      </c>
      <c r="U67" s="1821">
        <f t="shared" si="29"/>
        <v>0.44430522333123601</v>
      </c>
      <c r="V67" s="1153">
        <v>45310</v>
      </c>
      <c r="W67" s="221">
        <v>45657</v>
      </c>
      <c r="X67" s="101" t="s">
        <v>5663</v>
      </c>
      <c r="Y67" s="3010"/>
      <c r="Z67" s="1828"/>
    </row>
    <row r="68" spans="1:26" ht="16.5" customHeight="1">
      <c r="A68" s="2969">
        <v>4171</v>
      </c>
      <c r="B68" s="3298"/>
      <c r="C68" s="3300" t="s">
        <v>109</v>
      </c>
      <c r="D68" s="2852" t="s">
        <v>4198</v>
      </c>
      <c r="E68" s="128" t="s">
        <v>4199</v>
      </c>
      <c r="F68" s="111"/>
      <c r="G68" s="1809"/>
      <c r="H68" s="605">
        <f>+H69</f>
        <v>0</v>
      </c>
      <c r="I68" s="1809"/>
      <c r="J68" s="1809"/>
      <c r="K68" s="128">
        <f t="shared" ref="K68:L68" si="30">+K69</f>
        <v>130</v>
      </c>
      <c r="L68" s="1443">
        <f t="shared" si="30"/>
        <v>1</v>
      </c>
      <c r="M68" s="605">
        <f t="shared" ref="M68:N68" si="31">M69</f>
        <v>0</v>
      </c>
      <c r="N68" s="1822">
        <f t="shared" si="31"/>
        <v>0</v>
      </c>
      <c r="O68" s="3302">
        <f>IF(Q68&gt;0,N68,"na")</f>
        <v>0</v>
      </c>
      <c r="P68" s="1634">
        <f t="shared" ref="P68:S68" si="32">SUM(P69)</f>
        <v>468466520</v>
      </c>
      <c r="Q68" s="1634">
        <f t="shared" si="32"/>
        <v>468466520</v>
      </c>
      <c r="R68" s="1634">
        <f t="shared" si="32"/>
        <v>468466520</v>
      </c>
      <c r="S68" s="1634">
        <f t="shared" si="32"/>
        <v>0</v>
      </c>
      <c r="T68" s="134">
        <f t="shared" si="29"/>
        <v>1</v>
      </c>
      <c r="U68" s="1294">
        <f t="shared" si="29"/>
        <v>0</v>
      </c>
      <c r="V68" s="1815"/>
      <c r="W68" s="1815"/>
      <c r="X68" s="101"/>
      <c r="Y68" s="2853" t="s">
        <v>4152</v>
      </c>
      <c r="Z68" s="1828"/>
    </row>
    <row r="69" spans="1:26" ht="94.5" customHeight="1">
      <c r="A69" s="3010"/>
      <c r="B69" s="3299"/>
      <c r="C69" s="3301"/>
      <c r="D69" s="3010"/>
      <c r="E69" s="128" t="s">
        <v>4200</v>
      </c>
      <c r="F69" s="111"/>
      <c r="G69" s="92" t="s">
        <v>4126</v>
      </c>
      <c r="H69" s="605">
        <f>M69</f>
        <v>0</v>
      </c>
      <c r="I69" s="92" t="s">
        <v>4201</v>
      </c>
      <c r="J69" s="92" t="s">
        <v>2510</v>
      </c>
      <c r="K69" s="128">
        <v>130</v>
      </c>
      <c r="L69" s="1443">
        <v>1</v>
      </c>
      <c r="M69" s="1642">
        <v>0</v>
      </c>
      <c r="N69" s="1443">
        <v>0</v>
      </c>
      <c r="O69" s="3299"/>
      <c r="P69" s="1634">
        <v>468466520</v>
      </c>
      <c r="Q69" s="1634">
        <v>468466520</v>
      </c>
      <c r="R69" s="1634">
        <v>468466520</v>
      </c>
      <c r="S69" s="1634">
        <v>0</v>
      </c>
      <c r="T69" s="1827">
        <f t="shared" si="29"/>
        <v>1</v>
      </c>
      <c r="U69" s="1821">
        <f t="shared" si="29"/>
        <v>0</v>
      </c>
      <c r="V69" s="1153" t="s">
        <v>5664</v>
      </c>
      <c r="W69" s="1153">
        <v>45626</v>
      </c>
      <c r="X69" s="101" t="s">
        <v>5645</v>
      </c>
      <c r="Y69" s="3010"/>
      <c r="Z69" s="1828"/>
    </row>
    <row r="70" spans="1:26" ht="16.5" customHeight="1">
      <c r="A70" s="2969">
        <v>4171</v>
      </c>
      <c r="B70" s="3298"/>
      <c r="C70" s="3300" t="s">
        <v>109</v>
      </c>
      <c r="D70" s="2852" t="s">
        <v>4202</v>
      </c>
      <c r="E70" s="128" t="s">
        <v>4203</v>
      </c>
      <c r="F70" s="111"/>
      <c r="G70" s="1809"/>
      <c r="H70" s="605">
        <f>+H71</f>
        <v>0</v>
      </c>
      <c r="I70" s="1809"/>
      <c r="J70" s="1809"/>
      <c r="K70" s="128">
        <f t="shared" ref="K70:L70" si="33">+K71</f>
        <v>210</v>
      </c>
      <c r="L70" s="1443">
        <f t="shared" si="33"/>
        <v>1</v>
      </c>
      <c r="M70" s="605">
        <f t="shared" ref="M70:N70" si="34">M71</f>
        <v>0</v>
      </c>
      <c r="N70" s="1822">
        <f t="shared" si="34"/>
        <v>0.1</v>
      </c>
      <c r="O70" s="3302">
        <f>IF(Q70&gt;0,N70,"na")</f>
        <v>0.1</v>
      </c>
      <c r="P70" s="1634">
        <f t="shared" ref="P70:S70" si="35">SUM(P71)</f>
        <v>869131500</v>
      </c>
      <c r="Q70" s="1634">
        <f t="shared" si="35"/>
        <v>869131500</v>
      </c>
      <c r="R70" s="1634">
        <f t="shared" si="35"/>
        <v>869131500</v>
      </c>
      <c r="S70" s="1634">
        <f t="shared" si="35"/>
        <v>0</v>
      </c>
      <c r="T70" s="134">
        <f t="shared" si="29"/>
        <v>1</v>
      </c>
      <c r="U70" s="1294">
        <f t="shared" si="29"/>
        <v>0</v>
      </c>
      <c r="V70" s="1815"/>
      <c r="W70" s="1815"/>
      <c r="X70" s="101"/>
      <c r="Y70" s="2853" t="s">
        <v>4152</v>
      </c>
      <c r="Z70" s="1828"/>
    </row>
    <row r="71" spans="1:26" ht="94.5" customHeight="1">
      <c r="A71" s="3010"/>
      <c r="B71" s="3299"/>
      <c r="C71" s="3301"/>
      <c r="D71" s="3010"/>
      <c r="E71" s="128" t="s">
        <v>4204</v>
      </c>
      <c r="F71" s="111"/>
      <c r="G71" s="92" t="s">
        <v>4126</v>
      </c>
      <c r="H71" s="605">
        <f>M71</f>
        <v>0</v>
      </c>
      <c r="I71" s="92" t="s">
        <v>4205</v>
      </c>
      <c r="J71" s="92" t="s">
        <v>2510</v>
      </c>
      <c r="K71" s="128">
        <v>210</v>
      </c>
      <c r="L71" s="1443">
        <v>1</v>
      </c>
      <c r="M71" s="1642">
        <v>0</v>
      </c>
      <c r="N71" s="1443">
        <v>0.1</v>
      </c>
      <c r="O71" s="3299"/>
      <c r="P71" s="1634">
        <v>869131500</v>
      </c>
      <c r="Q71" s="1634">
        <v>869131500</v>
      </c>
      <c r="R71" s="1634">
        <v>869131500</v>
      </c>
      <c r="S71" s="1634">
        <v>0</v>
      </c>
      <c r="T71" s="1827">
        <f t="shared" si="29"/>
        <v>1</v>
      </c>
      <c r="U71" s="1821">
        <f t="shared" si="29"/>
        <v>0</v>
      </c>
      <c r="V71" s="1153">
        <v>45448</v>
      </c>
      <c r="W71" s="1153">
        <v>45626</v>
      </c>
      <c r="X71" s="1160" t="s">
        <v>5665</v>
      </c>
      <c r="Y71" s="3010"/>
      <c r="Z71" s="1828"/>
    </row>
    <row r="72" spans="1:26" ht="16.5" customHeight="1">
      <c r="A72" s="2969">
        <v>4171</v>
      </c>
      <c r="B72" s="3298"/>
      <c r="C72" s="3300" t="s">
        <v>109</v>
      </c>
      <c r="D72" s="2852" t="s">
        <v>4206</v>
      </c>
      <c r="E72" s="128" t="s">
        <v>4207</v>
      </c>
      <c r="F72" s="111"/>
      <c r="G72" s="1809"/>
      <c r="H72" s="605">
        <f>+H73</f>
        <v>0</v>
      </c>
      <c r="I72" s="1809"/>
      <c r="J72" s="1809"/>
      <c r="K72" s="128">
        <f>+K73</f>
        <v>120</v>
      </c>
      <c r="L72" s="1443">
        <f t="shared" ref="L72:N72" si="36">L73</f>
        <v>1</v>
      </c>
      <c r="M72" s="605">
        <f t="shared" si="36"/>
        <v>0</v>
      </c>
      <c r="N72" s="1822">
        <f t="shared" si="36"/>
        <v>0</v>
      </c>
      <c r="O72" s="3302">
        <f>IF(Q72&gt;0,N72,"na")</f>
        <v>0</v>
      </c>
      <c r="P72" s="1634">
        <f t="shared" ref="P72:S72" si="37">SUM(P73)</f>
        <v>365285448</v>
      </c>
      <c r="Q72" s="1634">
        <f t="shared" si="37"/>
        <v>365285448</v>
      </c>
      <c r="R72" s="1634">
        <f t="shared" si="37"/>
        <v>365285448</v>
      </c>
      <c r="S72" s="1634">
        <f t="shared" si="37"/>
        <v>0</v>
      </c>
      <c r="T72" s="134">
        <f t="shared" si="29"/>
        <v>1</v>
      </c>
      <c r="U72" s="1294">
        <f t="shared" si="29"/>
        <v>0</v>
      </c>
      <c r="V72" s="1815"/>
      <c r="W72" s="1815"/>
      <c r="X72" s="101"/>
      <c r="Y72" s="2853" t="s">
        <v>4152</v>
      </c>
      <c r="Z72" s="1828"/>
    </row>
    <row r="73" spans="1:26" ht="94.5" customHeight="1">
      <c r="A73" s="3010"/>
      <c r="B73" s="3299"/>
      <c r="C73" s="3301"/>
      <c r="D73" s="3010"/>
      <c r="E73" s="128" t="s">
        <v>4208</v>
      </c>
      <c r="F73" s="111"/>
      <c r="G73" s="92" t="s">
        <v>4126</v>
      </c>
      <c r="H73" s="605">
        <f>M73</f>
        <v>0</v>
      </c>
      <c r="I73" s="92" t="s">
        <v>4209</v>
      </c>
      <c r="J73" s="92" t="s">
        <v>2510</v>
      </c>
      <c r="K73" s="128">
        <v>120</v>
      </c>
      <c r="L73" s="1443">
        <v>1</v>
      </c>
      <c r="M73" s="1642">
        <v>0</v>
      </c>
      <c r="N73" s="936">
        <v>0</v>
      </c>
      <c r="O73" s="3299"/>
      <c r="P73" s="1634">
        <v>365285448</v>
      </c>
      <c r="Q73" s="1634">
        <v>365285448</v>
      </c>
      <c r="R73" s="1634">
        <v>365285448</v>
      </c>
      <c r="S73" s="1634">
        <v>0</v>
      </c>
      <c r="T73" s="1827">
        <f t="shared" si="29"/>
        <v>1</v>
      </c>
      <c r="U73" s="1821">
        <f t="shared" si="29"/>
        <v>0</v>
      </c>
      <c r="V73" s="1153" t="s">
        <v>5664</v>
      </c>
      <c r="W73" s="1153" t="s">
        <v>5666</v>
      </c>
      <c r="X73" s="101" t="s">
        <v>5645</v>
      </c>
      <c r="Y73" s="3010"/>
      <c r="Z73" s="1828"/>
    </row>
    <row r="74" spans="1:26" ht="16.5" customHeight="1">
      <c r="A74" s="2969">
        <v>4171</v>
      </c>
      <c r="B74" s="3298"/>
      <c r="C74" s="3300" t="s">
        <v>109</v>
      </c>
      <c r="D74" s="2852" t="s">
        <v>4210</v>
      </c>
      <c r="E74" s="128" t="s">
        <v>4211</v>
      </c>
      <c r="F74" s="111"/>
      <c r="G74" s="1809"/>
      <c r="H74" s="605">
        <f>+H75</f>
        <v>0</v>
      </c>
      <c r="I74" s="1809"/>
      <c r="J74" s="1809"/>
      <c r="K74" s="128">
        <f t="shared" ref="K74:L74" si="38">+K75</f>
        <v>125</v>
      </c>
      <c r="L74" s="1443">
        <f t="shared" si="38"/>
        <v>1</v>
      </c>
      <c r="M74" s="605">
        <f t="shared" ref="M74:N74" si="39">M75</f>
        <v>0</v>
      </c>
      <c r="N74" s="1822">
        <f t="shared" si="39"/>
        <v>0.05</v>
      </c>
      <c r="O74" s="3302">
        <f>IF(Q74&gt;0,N74,"na")</f>
        <v>0.05</v>
      </c>
      <c r="P74" s="1634">
        <f t="shared" ref="P74:S74" si="40">SUM(P75)</f>
        <v>806686197</v>
      </c>
      <c r="Q74" s="1634">
        <f t="shared" si="40"/>
        <v>806686197</v>
      </c>
      <c r="R74" s="1634">
        <f t="shared" si="40"/>
        <v>806686197</v>
      </c>
      <c r="S74" s="1634">
        <f t="shared" si="40"/>
        <v>0</v>
      </c>
      <c r="T74" s="134">
        <f t="shared" si="29"/>
        <v>1</v>
      </c>
      <c r="U74" s="1294">
        <f t="shared" si="29"/>
        <v>0</v>
      </c>
      <c r="V74" s="1815"/>
      <c r="W74" s="1815"/>
      <c r="X74" s="101"/>
      <c r="Y74" s="2853" t="s">
        <v>4152</v>
      </c>
      <c r="Z74" s="1828"/>
    </row>
    <row r="75" spans="1:26" ht="94.5" customHeight="1">
      <c r="A75" s="3010"/>
      <c r="B75" s="3299"/>
      <c r="C75" s="3301"/>
      <c r="D75" s="3010"/>
      <c r="E75" s="128" t="s">
        <v>4212</v>
      </c>
      <c r="F75" s="111"/>
      <c r="G75" s="92" t="s">
        <v>4126</v>
      </c>
      <c r="H75" s="605">
        <f>M75</f>
        <v>0</v>
      </c>
      <c r="I75" s="92" t="s">
        <v>4213</v>
      </c>
      <c r="J75" s="92" t="s">
        <v>2510</v>
      </c>
      <c r="K75" s="128">
        <v>125</v>
      </c>
      <c r="L75" s="1443">
        <v>1</v>
      </c>
      <c r="M75" s="1642">
        <v>0</v>
      </c>
      <c r="N75" s="1443">
        <v>0.05</v>
      </c>
      <c r="O75" s="3299"/>
      <c r="P75" s="1634">
        <v>806686197</v>
      </c>
      <c r="Q75" s="1634">
        <v>806686197</v>
      </c>
      <c r="R75" s="1634">
        <v>806686197</v>
      </c>
      <c r="S75" s="1634">
        <v>0</v>
      </c>
      <c r="T75" s="1827">
        <f t="shared" si="29"/>
        <v>1</v>
      </c>
      <c r="U75" s="1821">
        <f t="shared" si="29"/>
        <v>0</v>
      </c>
      <c r="V75" s="1153">
        <v>45454</v>
      </c>
      <c r="W75" s="1153">
        <v>45626</v>
      </c>
      <c r="X75" s="101" t="s">
        <v>5667</v>
      </c>
      <c r="Y75" s="3010"/>
      <c r="Z75" s="1828"/>
    </row>
    <row r="76" spans="1:26" ht="16.5" customHeight="1">
      <c r="A76" s="2969">
        <v>4171</v>
      </c>
      <c r="B76" s="3298"/>
      <c r="C76" s="3300" t="s">
        <v>109</v>
      </c>
      <c r="D76" s="2852" t="s">
        <v>4214</v>
      </c>
      <c r="E76" s="128" t="s">
        <v>4215</v>
      </c>
      <c r="F76" s="111"/>
      <c r="G76" s="1809"/>
      <c r="H76" s="605">
        <f>+H77</f>
        <v>0</v>
      </c>
      <c r="I76" s="1809"/>
      <c r="J76" s="1809"/>
      <c r="K76" s="128">
        <f t="shared" ref="K76:L76" si="41">+K77</f>
        <v>100</v>
      </c>
      <c r="L76" s="1443">
        <f t="shared" si="41"/>
        <v>0.3</v>
      </c>
      <c r="M76" s="605">
        <f t="shared" ref="M76:N76" si="42">M77</f>
        <v>0</v>
      </c>
      <c r="N76" s="1822">
        <f t="shared" si="42"/>
        <v>0.05</v>
      </c>
      <c r="O76" s="3302">
        <f>IF(Q76&gt;0,N76,"na")</f>
        <v>0.05</v>
      </c>
      <c r="P76" s="1634">
        <f t="shared" ref="P76:S76" si="43">SUM(P77)</f>
        <v>600000000</v>
      </c>
      <c r="Q76" s="1634">
        <f t="shared" si="43"/>
        <v>600000000</v>
      </c>
      <c r="R76" s="1634">
        <f t="shared" si="43"/>
        <v>600000000</v>
      </c>
      <c r="S76" s="1634">
        <f t="shared" si="43"/>
        <v>0</v>
      </c>
      <c r="T76" s="134">
        <f t="shared" si="29"/>
        <v>1</v>
      </c>
      <c r="U76" s="1294">
        <f t="shared" si="29"/>
        <v>0</v>
      </c>
      <c r="V76" s="1815"/>
      <c r="W76" s="1815"/>
      <c r="X76" s="101"/>
      <c r="Y76" s="2853" t="s">
        <v>4152</v>
      </c>
      <c r="Z76" s="1828"/>
    </row>
    <row r="77" spans="1:26" ht="94.5" customHeight="1">
      <c r="A77" s="3010"/>
      <c r="B77" s="3299"/>
      <c r="C77" s="3301"/>
      <c r="D77" s="3010"/>
      <c r="E77" s="128" t="s">
        <v>4216</v>
      </c>
      <c r="F77" s="111"/>
      <c r="G77" s="92" t="s">
        <v>4126</v>
      </c>
      <c r="H77" s="605">
        <f>M77</f>
        <v>0</v>
      </c>
      <c r="I77" s="92" t="s">
        <v>4217</v>
      </c>
      <c r="J77" s="92" t="s">
        <v>2510</v>
      </c>
      <c r="K77" s="128">
        <v>100</v>
      </c>
      <c r="L77" s="1443">
        <v>0.3</v>
      </c>
      <c r="M77" s="1642">
        <v>0</v>
      </c>
      <c r="N77" s="1443">
        <v>0.05</v>
      </c>
      <c r="O77" s="3299"/>
      <c r="P77" s="1634">
        <v>600000000</v>
      </c>
      <c r="Q77" s="1634">
        <v>600000000</v>
      </c>
      <c r="R77" s="1634">
        <v>600000000</v>
      </c>
      <c r="S77" s="1634">
        <v>0</v>
      </c>
      <c r="T77" s="1827">
        <f t="shared" si="29"/>
        <v>1</v>
      </c>
      <c r="U77" s="1821">
        <f t="shared" si="29"/>
        <v>0</v>
      </c>
      <c r="V77" s="1153">
        <v>45464</v>
      </c>
      <c r="W77" s="1153">
        <v>45626</v>
      </c>
      <c r="X77" s="101" t="s">
        <v>5668</v>
      </c>
      <c r="Y77" s="3010"/>
      <c r="Z77" s="1828"/>
    </row>
    <row r="78" spans="1:26" ht="16.5" customHeight="1">
      <c r="A78" s="2969">
        <v>4171</v>
      </c>
      <c r="B78" s="3298"/>
      <c r="C78" s="3300" t="s">
        <v>109</v>
      </c>
      <c r="D78" s="2852" t="s">
        <v>4218</v>
      </c>
      <c r="E78" s="128" t="s">
        <v>4219</v>
      </c>
      <c r="F78" s="111"/>
      <c r="G78" s="1809"/>
      <c r="H78" s="605">
        <f>+H79</f>
        <v>0</v>
      </c>
      <c r="I78" s="1809"/>
      <c r="J78" s="1809"/>
      <c r="K78" s="128">
        <f t="shared" ref="K78:L78" si="44">+K79</f>
        <v>200</v>
      </c>
      <c r="L78" s="1443">
        <f t="shared" si="44"/>
        <v>1</v>
      </c>
      <c r="M78" s="605">
        <f t="shared" ref="M78:N78" si="45">M79</f>
        <v>0</v>
      </c>
      <c r="N78" s="1822">
        <f t="shared" si="45"/>
        <v>0.05</v>
      </c>
      <c r="O78" s="3302">
        <f>IF(Q78&gt;0,N78,"na")</f>
        <v>0.05</v>
      </c>
      <c r="P78" s="1634">
        <f t="shared" ref="P78:S78" si="46">SUM(P79)</f>
        <v>677225698</v>
      </c>
      <c r="Q78" s="1634">
        <f t="shared" si="46"/>
        <v>677225698</v>
      </c>
      <c r="R78" s="1634">
        <f t="shared" si="46"/>
        <v>677225698</v>
      </c>
      <c r="S78" s="1634">
        <f t="shared" si="46"/>
        <v>0</v>
      </c>
      <c r="T78" s="134">
        <f t="shared" si="29"/>
        <v>1</v>
      </c>
      <c r="U78" s="1294">
        <f t="shared" si="29"/>
        <v>0</v>
      </c>
      <c r="V78" s="1815"/>
      <c r="W78" s="1815"/>
      <c r="X78" s="101"/>
      <c r="Y78" s="2853" t="s">
        <v>4152</v>
      </c>
      <c r="Z78" s="1828"/>
    </row>
    <row r="79" spans="1:26" ht="94.5" customHeight="1">
      <c r="A79" s="3010"/>
      <c r="B79" s="3299"/>
      <c r="C79" s="3301"/>
      <c r="D79" s="3010"/>
      <c r="E79" s="128" t="s">
        <v>4220</v>
      </c>
      <c r="F79" s="111"/>
      <c r="G79" s="92" t="s">
        <v>4221</v>
      </c>
      <c r="H79" s="605">
        <f>M79</f>
        <v>0</v>
      </c>
      <c r="I79" s="92" t="s">
        <v>4222</v>
      </c>
      <c r="J79" s="92" t="s">
        <v>2510</v>
      </c>
      <c r="K79" s="128">
        <v>200</v>
      </c>
      <c r="L79" s="1443">
        <v>1</v>
      </c>
      <c r="M79" s="1642">
        <v>0</v>
      </c>
      <c r="N79" s="1443">
        <v>0.05</v>
      </c>
      <c r="O79" s="3299"/>
      <c r="P79" s="1634">
        <v>677225698</v>
      </c>
      <c r="Q79" s="1634">
        <v>677225698</v>
      </c>
      <c r="R79" s="1634">
        <v>677225698</v>
      </c>
      <c r="S79" s="1634">
        <v>0</v>
      </c>
      <c r="T79" s="1827">
        <f t="shared" si="29"/>
        <v>1</v>
      </c>
      <c r="U79" s="1821">
        <f t="shared" si="29"/>
        <v>0</v>
      </c>
      <c r="V79" s="1153">
        <v>45464</v>
      </c>
      <c r="W79" s="1153">
        <v>45626</v>
      </c>
      <c r="X79" s="101" t="s">
        <v>5669</v>
      </c>
      <c r="Y79" s="3010"/>
      <c r="Z79" s="1828"/>
    </row>
    <row r="80" spans="1:26" ht="16.5" customHeight="1">
      <c r="A80" s="2969">
        <v>4171</v>
      </c>
      <c r="B80" s="3298"/>
      <c r="C80" s="3300" t="s">
        <v>109</v>
      </c>
      <c r="D80" s="2852" t="s">
        <v>4223</v>
      </c>
      <c r="E80" s="128" t="s">
        <v>4224</v>
      </c>
      <c r="F80" s="111"/>
      <c r="G80" s="1809"/>
      <c r="H80" s="605">
        <f>+H81</f>
        <v>0</v>
      </c>
      <c r="I80" s="1809"/>
      <c r="J80" s="1809"/>
      <c r="K80" s="128">
        <f t="shared" ref="K80:L80" si="47">+K81</f>
        <v>88</v>
      </c>
      <c r="L80" s="1443">
        <f t="shared" si="47"/>
        <v>1</v>
      </c>
      <c r="M80" s="605">
        <f t="shared" ref="M80:N80" si="48">M81</f>
        <v>0</v>
      </c>
      <c r="N80" s="1822">
        <f t="shared" si="48"/>
        <v>0.05</v>
      </c>
      <c r="O80" s="3302">
        <f>IF(Q80&gt;0,N80,"na")</f>
        <v>0.05</v>
      </c>
      <c r="P80" s="1634">
        <f t="shared" ref="P80:S80" si="49">SUM(P81)</f>
        <v>250000000</v>
      </c>
      <c r="Q80" s="1634">
        <f t="shared" si="49"/>
        <v>250000000</v>
      </c>
      <c r="R80" s="1634">
        <f t="shared" si="49"/>
        <v>250000000</v>
      </c>
      <c r="S80" s="1634">
        <f t="shared" si="49"/>
        <v>0</v>
      </c>
      <c r="T80" s="134">
        <f t="shared" si="29"/>
        <v>1</v>
      </c>
      <c r="U80" s="1294">
        <f t="shared" si="29"/>
        <v>0</v>
      </c>
      <c r="V80" s="1815"/>
      <c r="W80" s="1815"/>
      <c r="X80" s="101"/>
      <c r="Y80" s="2853" t="s">
        <v>4152</v>
      </c>
      <c r="Z80" s="1828"/>
    </row>
    <row r="81" spans="1:26" ht="94.5" customHeight="1">
      <c r="A81" s="3010"/>
      <c r="B81" s="3299"/>
      <c r="C81" s="3301"/>
      <c r="D81" s="3010"/>
      <c r="E81" s="128" t="s">
        <v>4225</v>
      </c>
      <c r="F81" s="111"/>
      <c r="G81" s="92" t="s">
        <v>4221</v>
      </c>
      <c r="H81" s="605">
        <f>M81</f>
        <v>0</v>
      </c>
      <c r="I81" s="92" t="s">
        <v>4226</v>
      </c>
      <c r="J81" s="92" t="s">
        <v>2510</v>
      </c>
      <c r="K81" s="128">
        <v>88</v>
      </c>
      <c r="L81" s="1443">
        <v>1</v>
      </c>
      <c r="M81" s="1642">
        <v>0</v>
      </c>
      <c r="N81" s="1443">
        <v>0.05</v>
      </c>
      <c r="O81" s="3299"/>
      <c r="P81" s="1634">
        <v>250000000</v>
      </c>
      <c r="Q81" s="1634">
        <v>250000000</v>
      </c>
      <c r="R81" s="1634">
        <v>250000000</v>
      </c>
      <c r="S81" s="1634">
        <v>0</v>
      </c>
      <c r="T81" s="1827">
        <f t="shared" ref="T81:U96" si="50">IF(Q81=0,0,R81/Q81)</f>
        <v>1</v>
      </c>
      <c r="U81" s="1821">
        <f t="shared" si="50"/>
        <v>0</v>
      </c>
      <c r="V81" s="1153">
        <v>45454</v>
      </c>
      <c r="W81" s="1153">
        <v>45626</v>
      </c>
      <c r="X81" s="101" t="s">
        <v>5670</v>
      </c>
      <c r="Y81" s="3010"/>
      <c r="Z81" s="1828"/>
    </row>
    <row r="82" spans="1:26" ht="16.5" customHeight="1">
      <c r="A82" s="2969">
        <v>4171</v>
      </c>
      <c r="B82" s="3298"/>
      <c r="C82" s="3300" t="s">
        <v>109</v>
      </c>
      <c r="D82" s="2852" t="s">
        <v>4227</v>
      </c>
      <c r="E82" s="128" t="s">
        <v>4228</v>
      </c>
      <c r="F82" s="111"/>
      <c r="G82" s="1809"/>
      <c r="H82" s="605">
        <f>+H83</f>
        <v>0</v>
      </c>
      <c r="I82" s="1809"/>
      <c r="J82" s="1809"/>
      <c r="K82" s="128">
        <f t="shared" ref="K82:L82" si="51">+K83</f>
        <v>100</v>
      </c>
      <c r="L82" s="1443">
        <f t="shared" si="51"/>
        <v>1</v>
      </c>
      <c r="M82" s="605">
        <f t="shared" ref="M82:N82" si="52">M83</f>
        <v>0</v>
      </c>
      <c r="N82" s="1822">
        <f t="shared" si="52"/>
        <v>0</v>
      </c>
      <c r="O82" s="3302">
        <f>IF(Q82&gt;0,N82,"na")</f>
        <v>0</v>
      </c>
      <c r="P82" s="1634">
        <f t="shared" ref="P82:S82" si="53">SUM(P83)</f>
        <v>400000000</v>
      </c>
      <c r="Q82" s="1634">
        <f t="shared" si="53"/>
        <v>400000000</v>
      </c>
      <c r="R82" s="1634">
        <f t="shared" si="53"/>
        <v>400000000</v>
      </c>
      <c r="S82" s="1634">
        <f t="shared" si="53"/>
        <v>0</v>
      </c>
      <c r="T82" s="134">
        <f t="shared" si="50"/>
        <v>1</v>
      </c>
      <c r="U82" s="1294">
        <f t="shared" si="50"/>
        <v>0</v>
      </c>
      <c r="V82" s="1815"/>
      <c r="W82" s="1815"/>
      <c r="X82" s="101"/>
      <c r="Y82" s="2853" t="s">
        <v>4152</v>
      </c>
      <c r="Z82" s="1828"/>
    </row>
    <row r="83" spans="1:26" ht="94.5" customHeight="1">
      <c r="A83" s="3010"/>
      <c r="B83" s="3299"/>
      <c r="C83" s="3301"/>
      <c r="D83" s="3010"/>
      <c r="E83" s="128" t="s">
        <v>4229</v>
      </c>
      <c r="F83" s="111"/>
      <c r="G83" s="92" t="s">
        <v>4126</v>
      </c>
      <c r="H83" s="605">
        <f>M83</f>
        <v>0</v>
      </c>
      <c r="I83" s="92" t="s">
        <v>4217</v>
      </c>
      <c r="J83" s="92" t="s">
        <v>2510</v>
      </c>
      <c r="K83" s="128">
        <v>100</v>
      </c>
      <c r="L83" s="1443">
        <v>1</v>
      </c>
      <c r="M83" s="1642">
        <v>0</v>
      </c>
      <c r="N83" s="1443">
        <v>0</v>
      </c>
      <c r="O83" s="3299"/>
      <c r="P83" s="1634">
        <v>400000000</v>
      </c>
      <c r="Q83" s="1634">
        <v>400000000</v>
      </c>
      <c r="R83" s="1634">
        <v>400000000</v>
      </c>
      <c r="S83" s="1634">
        <v>0</v>
      </c>
      <c r="T83" s="1827">
        <f t="shared" si="50"/>
        <v>1</v>
      </c>
      <c r="U83" s="1821">
        <f t="shared" si="50"/>
        <v>0</v>
      </c>
      <c r="V83" s="1153" t="s">
        <v>5664</v>
      </c>
      <c r="W83" s="1153" t="s">
        <v>5666</v>
      </c>
      <c r="X83" s="101" t="s">
        <v>5645</v>
      </c>
      <c r="Y83" s="3010"/>
      <c r="Z83" s="1828"/>
    </row>
    <row r="84" spans="1:26" ht="16.5" customHeight="1">
      <c r="A84" s="2969">
        <v>4171</v>
      </c>
      <c r="B84" s="3298"/>
      <c r="C84" s="3300" t="s">
        <v>109</v>
      </c>
      <c r="D84" s="2852" t="s">
        <v>4230</v>
      </c>
      <c r="E84" s="128" t="s">
        <v>4231</v>
      </c>
      <c r="F84" s="111"/>
      <c r="G84" s="1809"/>
      <c r="H84" s="605">
        <f>+H85</f>
        <v>0</v>
      </c>
      <c r="I84" s="1809"/>
      <c r="J84" s="1809"/>
      <c r="K84" s="128">
        <f t="shared" ref="K84:L84" si="54">+K85</f>
        <v>150</v>
      </c>
      <c r="L84" s="1443">
        <f t="shared" si="54"/>
        <v>1</v>
      </c>
      <c r="M84" s="605">
        <f t="shared" ref="M84:N84" si="55">M85</f>
        <v>0</v>
      </c>
      <c r="N84" s="1822">
        <f t="shared" si="55"/>
        <v>0</v>
      </c>
      <c r="O84" s="3302">
        <f>IF(Q84&gt;0,N84,"na")</f>
        <v>0</v>
      </c>
      <c r="P84" s="1634">
        <f t="shared" ref="P84:S84" si="56">SUM(P85)</f>
        <v>536751488</v>
      </c>
      <c r="Q84" s="1634">
        <f t="shared" si="56"/>
        <v>536751488</v>
      </c>
      <c r="R84" s="1634">
        <f t="shared" si="56"/>
        <v>536751488</v>
      </c>
      <c r="S84" s="1634">
        <f t="shared" si="56"/>
        <v>0</v>
      </c>
      <c r="T84" s="134">
        <f t="shared" si="50"/>
        <v>1</v>
      </c>
      <c r="U84" s="1294">
        <f t="shared" si="50"/>
        <v>0</v>
      </c>
      <c r="V84" s="1815"/>
      <c r="W84" s="1815"/>
      <c r="X84" s="101"/>
      <c r="Y84" s="2853" t="s">
        <v>4152</v>
      </c>
      <c r="Z84" s="1828"/>
    </row>
    <row r="85" spans="1:26" ht="94.5" customHeight="1">
      <c r="A85" s="3010"/>
      <c r="B85" s="3299"/>
      <c r="C85" s="3301"/>
      <c r="D85" s="3010"/>
      <c r="E85" s="128" t="s">
        <v>4232</v>
      </c>
      <c r="F85" s="111"/>
      <c r="G85" s="92" t="s">
        <v>4126</v>
      </c>
      <c r="H85" s="605">
        <f>M85</f>
        <v>0</v>
      </c>
      <c r="I85" s="92" t="s">
        <v>4233</v>
      </c>
      <c r="J85" s="92" t="s">
        <v>2510</v>
      </c>
      <c r="K85" s="128">
        <v>150</v>
      </c>
      <c r="L85" s="1443">
        <v>1</v>
      </c>
      <c r="M85" s="1642">
        <v>0</v>
      </c>
      <c r="N85" s="1443">
        <v>0</v>
      </c>
      <c r="O85" s="3299"/>
      <c r="P85" s="1634">
        <v>536751488</v>
      </c>
      <c r="Q85" s="1634">
        <v>536751488</v>
      </c>
      <c r="R85" s="1634">
        <v>536751488</v>
      </c>
      <c r="S85" s="1634">
        <v>0</v>
      </c>
      <c r="T85" s="1827">
        <f t="shared" si="50"/>
        <v>1</v>
      </c>
      <c r="U85" s="1821">
        <f t="shared" si="50"/>
        <v>0</v>
      </c>
      <c r="V85" s="1153" t="s">
        <v>5664</v>
      </c>
      <c r="W85" s="1153" t="s">
        <v>5666</v>
      </c>
      <c r="X85" s="101" t="s">
        <v>5645</v>
      </c>
      <c r="Y85" s="3010"/>
      <c r="Z85" s="1828"/>
    </row>
    <row r="86" spans="1:26" ht="16.5" customHeight="1">
      <c r="A86" s="2969">
        <v>4171</v>
      </c>
      <c r="B86" s="3298"/>
      <c r="C86" s="3300" t="s">
        <v>109</v>
      </c>
      <c r="D86" s="2852" t="s">
        <v>4234</v>
      </c>
      <c r="E86" s="128" t="s">
        <v>4235</v>
      </c>
      <c r="F86" s="111"/>
      <c r="G86" s="1809"/>
      <c r="H86" s="605">
        <f>+H87</f>
        <v>0</v>
      </c>
      <c r="I86" s="1809"/>
      <c r="J86" s="1809"/>
      <c r="K86" s="128">
        <f t="shared" ref="K86:L86" si="57">+K87</f>
        <v>100</v>
      </c>
      <c r="L86" s="1443">
        <f t="shared" si="57"/>
        <v>1</v>
      </c>
      <c r="M86" s="605">
        <f t="shared" ref="M86:N86" si="58">M87</f>
        <v>0</v>
      </c>
      <c r="N86" s="1822">
        <f t="shared" si="58"/>
        <v>0.05</v>
      </c>
      <c r="O86" s="3302">
        <f>IF(Q86&gt;0,N86,"na")</f>
        <v>0.05</v>
      </c>
      <c r="P86" s="1634">
        <f t="shared" ref="P86:S86" si="59">SUM(P87)</f>
        <v>528375448</v>
      </c>
      <c r="Q86" s="1634">
        <f t="shared" si="59"/>
        <v>528375448</v>
      </c>
      <c r="R86" s="1634">
        <f t="shared" si="59"/>
        <v>528375448</v>
      </c>
      <c r="S86" s="1634">
        <f t="shared" si="59"/>
        <v>0</v>
      </c>
      <c r="T86" s="134">
        <f t="shared" si="50"/>
        <v>1</v>
      </c>
      <c r="U86" s="1294">
        <f t="shared" si="50"/>
        <v>0</v>
      </c>
      <c r="V86" s="1815"/>
      <c r="W86" s="1815"/>
      <c r="X86" s="101"/>
      <c r="Y86" s="2853" t="s">
        <v>4152</v>
      </c>
      <c r="Z86" s="1828"/>
    </row>
    <row r="87" spans="1:26" ht="94.5" customHeight="1">
      <c r="A87" s="3010"/>
      <c r="B87" s="3299"/>
      <c r="C87" s="3301"/>
      <c r="D87" s="3010"/>
      <c r="E87" s="128" t="s">
        <v>4236</v>
      </c>
      <c r="F87" s="111"/>
      <c r="G87" s="92" t="s">
        <v>4126</v>
      </c>
      <c r="H87" s="605">
        <f>M87</f>
        <v>0</v>
      </c>
      <c r="I87" s="92" t="s">
        <v>4217</v>
      </c>
      <c r="J87" s="92" t="s">
        <v>2510</v>
      </c>
      <c r="K87" s="128">
        <v>100</v>
      </c>
      <c r="L87" s="1443">
        <v>1</v>
      </c>
      <c r="M87" s="1642">
        <v>0</v>
      </c>
      <c r="N87" s="1443">
        <v>0.05</v>
      </c>
      <c r="O87" s="3299"/>
      <c r="P87" s="1634">
        <v>528375448</v>
      </c>
      <c r="Q87" s="1634">
        <v>528375448</v>
      </c>
      <c r="R87" s="1634">
        <v>528375448</v>
      </c>
      <c r="S87" s="1634">
        <v>0</v>
      </c>
      <c r="T87" s="1827">
        <f t="shared" si="50"/>
        <v>1</v>
      </c>
      <c r="U87" s="1821">
        <f t="shared" si="50"/>
        <v>0</v>
      </c>
      <c r="V87" s="1153">
        <v>45456</v>
      </c>
      <c r="W87" s="1153">
        <v>45626</v>
      </c>
      <c r="X87" s="101" t="s">
        <v>5671</v>
      </c>
      <c r="Y87" s="3010"/>
      <c r="Z87" s="1828"/>
    </row>
    <row r="88" spans="1:26" ht="16.5" customHeight="1">
      <c r="A88" s="2969">
        <v>4171</v>
      </c>
      <c r="B88" s="3298"/>
      <c r="C88" s="3300" t="s">
        <v>109</v>
      </c>
      <c r="D88" s="2852" t="s">
        <v>4237</v>
      </c>
      <c r="E88" s="128" t="s">
        <v>4238</v>
      </c>
      <c r="F88" s="111"/>
      <c r="G88" s="1809"/>
      <c r="H88" s="605">
        <f>+H89</f>
        <v>0</v>
      </c>
      <c r="I88" s="1809"/>
      <c r="J88" s="1809"/>
      <c r="K88" s="128">
        <f>K89</f>
        <v>200</v>
      </c>
      <c r="L88" s="1443">
        <f>+L89</f>
        <v>1</v>
      </c>
      <c r="M88" s="605">
        <f t="shared" ref="M88:N88" si="60">M89</f>
        <v>0</v>
      </c>
      <c r="N88" s="1822">
        <f t="shared" si="60"/>
        <v>0.05</v>
      </c>
      <c r="O88" s="3302">
        <f>IF(Q88&gt;0,N88,"na")</f>
        <v>0.05</v>
      </c>
      <c r="P88" s="1634">
        <f t="shared" ref="P88:S88" si="61">SUM(P89)</f>
        <v>655306000</v>
      </c>
      <c r="Q88" s="1634">
        <f t="shared" si="61"/>
        <v>655306000</v>
      </c>
      <c r="R88" s="1634">
        <f t="shared" si="61"/>
        <v>655306000</v>
      </c>
      <c r="S88" s="1634">
        <f t="shared" si="61"/>
        <v>0</v>
      </c>
      <c r="T88" s="134">
        <f t="shared" si="50"/>
        <v>1</v>
      </c>
      <c r="U88" s="1294">
        <f t="shared" si="50"/>
        <v>0</v>
      </c>
      <c r="V88" s="1815"/>
      <c r="W88" s="1815"/>
      <c r="X88" s="101"/>
      <c r="Y88" s="2853" t="s">
        <v>4152</v>
      </c>
      <c r="Z88" s="1828"/>
    </row>
    <row r="89" spans="1:26" ht="94.5" customHeight="1">
      <c r="A89" s="3010"/>
      <c r="B89" s="3299"/>
      <c r="C89" s="3301"/>
      <c r="D89" s="3010"/>
      <c r="E89" s="128" t="s">
        <v>4239</v>
      </c>
      <c r="F89" s="111"/>
      <c r="G89" s="92" t="s">
        <v>4221</v>
      </c>
      <c r="H89" s="605">
        <f>M89</f>
        <v>0</v>
      </c>
      <c r="I89" s="92" t="s">
        <v>4222</v>
      </c>
      <c r="J89" s="92" t="s">
        <v>2510</v>
      </c>
      <c r="K89" s="128">
        <v>200</v>
      </c>
      <c r="L89" s="1443">
        <v>1</v>
      </c>
      <c r="M89" s="1642">
        <v>0</v>
      </c>
      <c r="N89" s="1443">
        <v>0.05</v>
      </c>
      <c r="O89" s="3299"/>
      <c r="P89" s="1634">
        <v>655306000</v>
      </c>
      <c r="Q89" s="1634">
        <v>655306000</v>
      </c>
      <c r="R89" s="1634">
        <v>655306000</v>
      </c>
      <c r="S89" s="1634">
        <v>0</v>
      </c>
      <c r="T89" s="1827">
        <f t="shared" si="50"/>
        <v>1</v>
      </c>
      <c r="U89" s="1821">
        <f t="shared" si="50"/>
        <v>0</v>
      </c>
      <c r="V89" s="1153">
        <v>45456</v>
      </c>
      <c r="W89" s="1153">
        <v>45626</v>
      </c>
      <c r="X89" s="101" t="s">
        <v>5672</v>
      </c>
      <c r="Y89" s="3010"/>
      <c r="Z89" s="1828"/>
    </row>
    <row r="90" spans="1:26" ht="16.5" customHeight="1">
      <c r="A90" s="2969">
        <v>4171</v>
      </c>
      <c r="B90" s="3298"/>
      <c r="C90" s="3300" t="s">
        <v>109</v>
      </c>
      <c r="D90" s="2852" t="s">
        <v>4240</v>
      </c>
      <c r="E90" s="128" t="s">
        <v>4241</v>
      </c>
      <c r="F90" s="111"/>
      <c r="G90" s="1809"/>
      <c r="H90" s="605">
        <f>+H91</f>
        <v>0</v>
      </c>
      <c r="I90" s="1809"/>
      <c r="J90" s="1809"/>
      <c r="K90" s="128">
        <f t="shared" ref="K90:L90" si="62">+K91</f>
        <v>75</v>
      </c>
      <c r="L90" s="1443">
        <f t="shared" si="62"/>
        <v>1</v>
      </c>
      <c r="M90" s="605">
        <f t="shared" ref="M90:N90" si="63">M91</f>
        <v>0</v>
      </c>
      <c r="N90" s="1822">
        <f t="shared" si="63"/>
        <v>0.05</v>
      </c>
      <c r="O90" s="3302">
        <f>IF(Q90&gt;0,N90,"na")</f>
        <v>0.05</v>
      </c>
      <c r="P90" s="1634">
        <f t="shared" ref="P90:S90" si="64">SUM(P91)</f>
        <v>227943000</v>
      </c>
      <c r="Q90" s="1634">
        <f t="shared" si="64"/>
        <v>227943000</v>
      </c>
      <c r="R90" s="1634">
        <f t="shared" si="64"/>
        <v>227943000</v>
      </c>
      <c r="S90" s="1634">
        <f t="shared" si="64"/>
        <v>0</v>
      </c>
      <c r="T90" s="134">
        <f t="shared" si="50"/>
        <v>1</v>
      </c>
      <c r="U90" s="1294">
        <f t="shared" si="50"/>
        <v>0</v>
      </c>
      <c r="V90" s="1815"/>
      <c r="W90" s="1815"/>
      <c r="X90" s="101"/>
      <c r="Y90" s="2853" t="s">
        <v>4152</v>
      </c>
      <c r="Z90" s="1828"/>
    </row>
    <row r="91" spans="1:26" ht="94.5" customHeight="1">
      <c r="A91" s="3010"/>
      <c r="B91" s="3299"/>
      <c r="C91" s="3301"/>
      <c r="D91" s="3010"/>
      <c r="E91" s="128" t="s">
        <v>4242</v>
      </c>
      <c r="F91" s="111"/>
      <c r="G91" s="92" t="s">
        <v>4126</v>
      </c>
      <c r="H91" s="605">
        <f>M91</f>
        <v>0</v>
      </c>
      <c r="I91" s="92" t="s">
        <v>4243</v>
      </c>
      <c r="J91" s="92" t="s">
        <v>2510</v>
      </c>
      <c r="K91" s="128">
        <v>75</v>
      </c>
      <c r="L91" s="1443">
        <v>1</v>
      </c>
      <c r="M91" s="1642">
        <v>0</v>
      </c>
      <c r="N91" s="1443">
        <v>0.05</v>
      </c>
      <c r="O91" s="3299"/>
      <c r="P91" s="1634">
        <v>227943000</v>
      </c>
      <c r="Q91" s="1634">
        <v>227943000</v>
      </c>
      <c r="R91" s="1634">
        <v>227943000</v>
      </c>
      <c r="S91" s="1634">
        <v>0</v>
      </c>
      <c r="T91" s="1827">
        <f t="shared" si="50"/>
        <v>1</v>
      </c>
      <c r="U91" s="1821">
        <f t="shared" si="50"/>
        <v>0</v>
      </c>
      <c r="V91" s="1153">
        <v>45454</v>
      </c>
      <c r="W91" s="1153">
        <v>45626</v>
      </c>
      <c r="X91" s="101" t="s">
        <v>5673</v>
      </c>
      <c r="Y91" s="3010"/>
      <c r="Z91" s="1828"/>
    </row>
    <row r="92" spans="1:26" ht="16.5" customHeight="1">
      <c r="A92" s="2969">
        <v>4171</v>
      </c>
      <c r="B92" s="3305"/>
      <c r="C92" s="3306" t="s">
        <v>109</v>
      </c>
      <c r="D92" s="2852" t="s">
        <v>4244</v>
      </c>
      <c r="E92" s="128" t="s">
        <v>4245</v>
      </c>
      <c r="F92" s="111"/>
      <c r="G92" s="1809"/>
      <c r="H92" s="605">
        <f>+H93</f>
        <v>0</v>
      </c>
      <c r="I92" s="1809"/>
      <c r="J92" s="1809"/>
      <c r="K92" s="128">
        <f t="shared" ref="K92:L92" si="65">+K93</f>
        <v>130</v>
      </c>
      <c r="L92" s="1443">
        <f t="shared" si="65"/>
        <v>1</v>
      </c>
      <c r="M92" s="605">
        <f t="shared" ref="M92:N92" si="66">M93</f>
        <v>0</v>
      </c>
      <c r="N92" s="1822">
        <f t="shared" si="66"/>
        <v>0</v>
      </c>
      <c r="O92" s="3302">
        <f>IF(Q92&gt;0,N92,"na")</f>
        <v>0</v>
      </c>
      <c r="P92" s="1634">
        <f t="shared" ref="P92:S92" si="67">SUM(P93)</f>
        <v>726336820</v>
      </c>
      <c r="Q92" s="1634">
        <f t="shared" si="67"/>
        <v>726336820</v>
      </c>
      <c r="R92" s="1634">
        <f t="shared" si="67"/>
        <v>726336820</v>
      </c>
      <c r="S92" s="1634">
        <f t="shared" si="67"/>
        <v>0</v>
      </c>
      <c r="T92" s="134">
        <f t="shared" si="50"/>
        <v>1</v>
      </c>
      <c r="U92" s="1294">
        <f t="shared" si="50"/>
        <v>0</v>
      </c>
      <c r="V92" s="1815"/>
      <c r="W92" s="1815"/>
      <c r="X92" s="101"/>
      <c r="Y92" s="2853" t="s">
        <v>4152</v>
      </c>
      <c r="Z92" s="1828"/>
    </row>
    <row r="93" spans="1:26" ht="94.5" customHeight="1">
      <c r="A93" s="3010"/>
      <c r="B93" s="3299"/>
      <c r="C93" s="3301"/>
      <c r="D93" s="3010"/>
      <c r="E93" s="128" t="s">
        <v>4246</v>
      </c>
      <c r="F93" s="111"/>
      <c r="G93" s="92" t="s">
        <v>4126</v>
      </c>
      <c r="H93" s="605">
        <f>M93</f>
        <v>0</v>
      </c>
      <c r="I93" s="92" t="s">
        <v>4201</v>
      </c>
      <c r="J93" s="92" t="s">
        <v>2510</v>
      </c>
      <c r="K93" s="128">
        <v>130</v>
      </c>
      <c r="L93" s="1443">
        <v>1</v>
      </c>
      <c r="M93" s="1642">
        <v>0</v>
      </c>
      <c r="N93" s="1443">
        <v>0</v>
      </c>
      <c r="O93" s="3299"/>
      <c r="P93" s="1634">
        <v>726336820</v>
      </c>
      <c r="Q93" s="1634">
        <v>726336820</v>
      </c>
      <c r="R93" s="1634">
        <v>726336820</v>
      </c>
      <c r="S93" s="1634">
        <v>0</v>
      </c>
      <c r="T93" s="1827">
        <f t="shared" si="50"/>
        <v>1</v>
      </c>
      <c r="U93" s="1821">
        <f t="shared" si="50"/>
        <v>0</v>
      </c>
      <c r="V93" s="1153" t="s">
        <v>5674</v>
      </c>
      <c r="W93" s="1153">
        <v>45626</v>
      </c>
      <c r="X93" s="101" t="s">
        <v>5645</v>
      </c>
      <c r="Y93" s="3010"/>
      <c r="Z93" s="1828"/>
    </row>
    <row r="94" spans="1:26" ht="16.5" customHeight="1">
      <c r="A94" s="2969">
        <v>4171</v>
      </c>
      <c r="B94" s="3305"/>
      <c r="C94" s="3306" t="s">
        <v>109</v>
      </c>
      <c r="D94" s="2852" t="s">
        <v>4247</v>
      </c>
      <c r="E94" s="128" t="s">
        <v>4248</v>
      </c>
      <c r="F94" s="111"/>
      <c r="G94" s="1809"/>
      <c r="H94" s="605">
        <f>+H95</f>
        <v>0</v>
      </c>
      <c r="I94" s="1809"/>
      <c r="J94" s="1809"/>
      <c r="K94" s="128">
        <f t="shared" ref="K94:L94" si="68">+K95</f>
        <v>15</v>
      </c>
      <c r="L94" s="1443">
        <f t="shared" si="68"/>
        <v>1</v>
      </c>
      <c r="M94" s="605">
        <f t="shared" ref="M94:N94" si="69">M95</f>
        <v>0</v>
      </c>
      <c r="N94" s="1822">
        <f t="shared" si="69"/>
        <v>0</v>
      </c>
      <c r="O94" s="3302">
        <f>IF(Q94&gt;0,N94,"na")</f>
        <v>0</v>
      </c>
      <c r="P94" s="1634">
        <f t="shared" ref="P94:S94" si="70">SUM(P95)</f>
        <v>25000000</v>
      </c>
      <c r="Q94" s="1634">
        <f t="shared" si="70"/>
        <v>25000000</v>
      </c>
      <c r="R94" s="1634">
        <f t="shared" si="70"/>
        <v>0</v>
      </c>
      <c r="S94" s="1634">
        <f t="shared" si="70"/>
        <v>0</v>
      </c>
      <c r="T94" s="134">
        <f t="shared" si="50"/>
        <v>0</v>
      </c>
      <c r="U94" s="1294">
        <f t="shared" si="50"/>
        <v>0</v>
      </c>
      <c r="V94" s="1815"/>
      <c r="W94" s="1815"/>
      <c r="X94" s="101"/>
      <c r="Y94" s="2853" t="s">
        <v>4152</v>
      </c>
      <c r="Z94" s="1828"/>
    </row>
    <row r="95" spans="1:26" ht="94.5" customHeight="1">
      <c r="A95" s="3010"/>
      <c r="B95" s="3299"/>
      <c r="C95" s="3301"/>
      <c r="D95" s="3010"/>
      <c r="E95" s="128" t="s">
        <v>4249</v>
      </c>
      <c r="F95" s="111"/>
      <c r="G95" s="92" t="s">
        <v>4126</v>
      </c>
      <c r="H95" s="605">
        <f>M95</f>
        <v>0</v>
      </c>
      <c r="I95" s="92" t="s">
        <v>4250</v>
      </c>
      <c r="J95" s="92" t="s">
        <v>2510</v>
      </c>
      <c r="K95" s="128">
        <v>15</v>
      </c>
      <c r="L95" s="1443">
        <v>1</v>
      </c>
      <c r="M95" s="1642">
        <v>0</v>
      </c>
      <c r="N95" s="1443">
        <v>0</v>
      </c>
      <c r="O95" s="3299"/>
      <c r="P95" s="1634">
        <v>25000000</v>
      </c>
      <c r="Q95" s="1634">
        <v>25000000</v>
      </c>
      <c r="R95" s="1634">
        <v>0</v>
      </c>
      <c r="S95" s="1634">
        <v>0</v>
      </c>
      <c r="T95" s="1827">
        <f t="shared" si="50"/>
        <v>0</v>
      </c>
      <c r="U95" s="1821">
        <f t="shared" si="50"/>
        <v>0</v>
      </c>
      <c r="V95" s="1153"/>
      <c r="W95" s="221"/>
      <c r="X95" s="101"/>
      <c r="Y95" s="3010"/>
      <c r="Z95" s="1828"/>
    </row>
    <row r="96" spans="1:26" ht="16.5" customHeight="1">
      <c r="A96" s="2969">
        <v>4171</v>
      </c>
      <c r="B96" s="3298"/>
      <c r="C96" s="3300" t="s">
        <v>109</v>
      </c>
      <c r="D96" s="2852" t="s">
        <v>4251</v>
      </c>
      <c r="E96" s="128" t="s">
        <v>4252</v>
      </c>
      <c r="F96" s="111"/>
      <c r="G96" s="1809"/>
      <c r="H96" s="605">
        <f>+H97</f>
        <v>0</v>
      </c>
      <c r="I96" s="1809"/>
      <c r="J96" s="1809"/>
      <c r="K96" s="128">
        <f t="shared" ref="K96:L96" si="71">+K97</f>
        <v>60</v>
      </c>
      <c r="L96" s="1443">
        <f t="shared" si="71"/>
        <v>1</v>
      </c>
      <c r="M96" s="605">
        <f t="shared" ref="M96:N96" si="72">M97</f>
        <v>0</v>
      </c>
      <c r="N96" s="1822">
        <f t="shared" si="72"/>
        <v>0</v>
      </c>
      <c r="O96" s="3302">
        <f>IF(Q96&gt;0,N96,"na")</f>
        <v>0</v>
      </c>
      <c r="P96" s="1634">
        <f t="shared" ref="P96:S96" si="73">SUM(P97)</f>
        <v>291036528</v>
      </c>
      <c r="Q96" s="1634">
        <f t="shared" si="73"/>
        <v>291036528</v>
      </c>
      <c r="R96" s="1634">
        <f t="shared" si="73"/>
        <v>0</v>
      </c>
      <c r="S96" s="1634">
        <f t="shared" si="73"/>
        <v>0</v>
      </c>
      <c r="T96" s="134">
        <f t="shared" si="50"/>
        <v>0</v>
      </c>
      <c r="U96" s="1294">
        <f t="shared" si="50"/>
        <v>0</v>
      </c>
      <c r="V96" s="1815"/>
      <c r="W96" s="1815"/>
      <c r="X96" s="101"/>
      <c r="Y96" s="2853" t="s">
        <v>4152</v>
      </c>
      <c r="Z96" s="1828"/>
    </row>
    <row r="97" spans="1:26" ht="94.5" customHeight="1">
      <c r="A97" s="3010"/>
      <c r="B97" s="3299"/>
      <c r="C97" s="3301"/>
      <c r="D97" s="3010"/>
      <c r="E97" s="128" t="s">
        <v>4253</v>
      </c>
      <c r="F97" s="111"/>
      <c r="G97" s="92" t="s">
        <v>4126</v>
      </c>
      <c r="H97" s="605">
        <f>M97</f>
        <v>0</v>
      </c>
      <c r="I97" s="92" t="s">
        <v>4254</v>
      </c>
      <c r="J97" s="92" t="s">
        <v>2510</v>
      </c>
      <c r="K97" s="128">
        <v>60</v>
      </c>
      <c r="L97" s="1443">
        <v>1</v>
      </c>
      <c r="M97" s="1642">
        <v>0</v>
      </c>
      <c r="N97" s="1443">
        <v>0</v>
      </c>
      <c r="O97" s="3299"/>
      <c r="P97" s="1634">
        <v>291036528</v>
      </c>
      <c r="Q97" s="1634">
        <v>291036528</v>
      </c>
      <c r="R97" s="1634">
        <v>0</v>
      </c>
      <c r="S97" s="1634">
        <v>0</v>
      </c>
      <c r="T97" s="1827">
        <f t="shared" ref="T97:U103" si="74">IF(Q97=0,0,R97/Q97)</f>
        <v>0</v>
      </c>
      <c r="U97" s="1821">
        <f t="shared" si="74"/>
        <v>0</v>
      </c>
      <c r="V97" s="1153"/>
      <c r="W97" s="221"/>
      <c r="X97" s="101"/>
      <c r="Y97" s="3010"/>
      <c r="Z97" s="1828"/>
    </row>
    <row r="98" spans="1:26" ht="16.5" customHeight="1">
      <c r="A98" s="2969">
        <v>4171</v>
      </c>
      <c r="B98" s="3305"/>
      <c r="C98" s="3306" t="s">
        <v>109</v>
      </c>
      <c r="D98" s="2852" t="s">
        <v>4255</v>
      </c>
      <c r="E98" s="128" t="s">
        <v>4256</v>
      </c>
      <c r="F98" s="111"/>
      <c r="G98" s="1809"/>
      <c r="H98" s="605">
        <f>+H99</f>
        <v>0</v>
      </c>
      <c r="I98" s="1809"/>
      <c r="J98" s="1809"/>
      <c r="K98" s="128">
        <f t="shared" ref="K98:L98" si="75">+K99</f>
        <v>125</v>
      </c>
      <c r="L98" s="1443">
        <f t="shared" si="75"/>
        <v>1</v>
      </c>
      <c r="M98" s="605">
        <f t="shared" ref="M98:N98" si="76">M99</f>
        <v>0</v>
      </c>
      <c r="N98" s="1822">
        <f t="shared" si="76"/>
        <v>0</v>
      </c>
      <c r="O98" s="3302">
        <f>IF(Q98&gt;0,N98,"na")</f>
        <v>0</v>
      </c>
      <c r="P98" s="1634">
        <f t="shared" ref="P98:S98" si="77">SUM(P99)</f>
        <v>570625195</v>
      </c>
      <c r="Q98" s="1634">
        <f t="shared" si="77"/>
        <v>570625195</v>
      </c>
      <c r="R98" s="1634">
        <f t="shared" si="77"/>
        <v>570625195</v>
      </c>
      <c r="S98" s="1634">
        <f t="shared" si="77"/>
        <v>0</v>
      </c>
      <c r="T98" s="134">
        <f t="shared" si="74"/>
        <v>1</v>
      </c>
      <c r="U98" s="1294">
        <f t="shared" si="74"/>
        <v>0</v>
      </c>
      <c r="V98" s="1815"/>
      <c r="W98" s="1815"/>
      <c r="X98" s="101"/>
      <c r="Y98" s="2853" t="s">
        <v>4152</v>
      </c>
      <c r="Z98" s="1828"/>
    </row>
    <row r="99" spans="1:26" ht="94.5" customHeight="1">
      <c r="A99" s="3010"/>
      <c r="B99" s="3299"/>
      <c r="C99" s="3301"/>
      <c r="D99" s="3010"/>
      <c r="E99" s="128" t="s">
        <v>4257</v>
      </c>
      <c r="F99" s="111"/>
      <c r="G99" s="92" t="s">
        <v>4126</v>
      </c>
      <c r="H99" s="605">
        <f>M99</f>
        <v>0</v>
      </c>
      <c r="I99" s="92" t="s">
        <v>4213</v>
      </c>
      <c r="J99" s="92" t="s">
        <v>2510</v>
      </c>
      <c r="K99" s="128">
        <v>125</v>
      </c>
      <c r="L99" s="1443">
        <v>1</v>
      </c>
      <c r="M99" s="1642">
        <v>0</v>
      </c>
      <c r="N99" s="1443">
        <v>0</v>
      </c>
      <c r="O99" s="3299"/>
      <c r="P99" s="1634">
        <v>570625195</v>
      </c>
      <c r="Q99" s="1634">
        <v>570625195</v>
      </c>
      <c r="R99" s="1634">
        <v>570625195</v>
      </c>
      <c r="S99" s="1634">
        <v>0</v>
      </c>
      <c r="T99" s="1827">
        <f t="shared" si="74"/>
        <v>1</v>
      </c>
      <c r="U99" s="1821">
        <f t="shared" si="74"/>
        <v>0</v>
      </c>
      <c r="V99" s="1153">
        <v>45468</v>
      </c>
      <c r="W99" s="1153">
        <v>45626</v>
      </c>
      <c r="X99" s="101" t="s">
        <v>5645</v>
      </c>
      <c r="Y99" s="3010"/>
      <c r="Z99" s="1828"/>
    </row>
    <row r="100" spans="1:26" s="45" customFormat="1" ht="25.5" customHeight="1">
      <c r="A100" s="2969">
        <v>4171</v>
      </c>
      <c r="B100" s="3305"/>
      <c r="C100" s="3306" t="s">
        <v>109</v>
      </c>
      <c r="D100" s="2852" t="s">
        <v>4258</v>
      </c>
      <c r="E100" s="128" t="s">
        <v>4259</v>
      </c>
      <c r="F100" s="111"/>
      <c r="G100" s="1809"/>
      <c r="H100" s="605">
        <f>+H101</f>
        <v>0</v>
      </c>
      <c r="I100" s="1809"/>
      <c r="J100" s="1809"/>
      <c r="K100" s="128">
        <f t="shared" ref="K100:L100" si="78">+K101</f>
        <v>50</v>
      </c>
      <c r="L100" s="1443">
        <f t="shared" si="78"/>
        <v>1</v>
      </c>
      <c r="M100" s="605">
        <f t="shared" ref="M100:N100" si="79">M101</f>
        <v>0</v>
      </c>
      <c r="N100" s="1822">
        <f t="shared" si="79"/>
        <v>0</v>
      </c>
      <c r="O100" s="3302">
        <f>IF(Q100&gt;0,N100,"na")</f>
        <v>0</v>
      </c>
      <c r="P100" s="1634">
        <f t="shared" ref="P100:S100" si="80">SUM(P101)</f>
        <v>223476104</v>
      </c>
      <c r="Q100" s="1634">
        <f t="shared" si="80"/>
        <v>223476104</v>
      </c>
      <c r="R100" s="1634">
        <f t="shared" si="80"/>
        <v>0</v>
      </c>
      <c r="S100" s="1634">
        <f t="shared" si="80"/>
        <v>0</v>
      </c>
      <c r="T100" s="134">
        <f t="shared" si="74"/>
        <v>0</v>
      </c>
      <c r="U100" s="1294">
        <f t="shared" si="74"/>
        <v>0</v>
      </c>
      <c r="V100" s="1815"/>
      <c r="W100" s="1815"/>
      <c r="X100" s="101"/>
      <c r="Y100" s="2853" t="s">
        <v>4152</v>
      </c>
      <c r="Z100" s="1828"/>
    </row>
    <row r="101" spans="1:26" ht="16.5" customHeight="1">
      <c r="A101" s="3010"/>
      <c r="B101" s="3299"/>
      <c r="C101" s="3301"/>
      <c r="D101" s="3010"/>
      <c r="E101" s="128" t="s">
        <v>4260</v>
      </c>
      <c r="F101" s="111"/>
      <c r="G101" s="92" t="s">
        <v>4126</v>
      </c>
      <c r="H101" s="605">
        <f>M101</f>
        <v>0</v>
      </c>
      <c r="I101" s="92" t="s">
        <v>4261</v>
      </c>
      <c r="J101" s="92" t="s">
        <v>2510</v>
      </c>
      <c r="K101" s="128">
        <v>50</v>
      </c>
      <c r="L101" s="1443">
        <v>1</v>
      </c>
      <c r="M101" s="1642">
        <v>0</v>
      </c>
      <c r="N101" s="1443">
        <v>0</v>
      </c>
      <c r="O101" s="3299"/>
      <c r="P101" s="1634">
        <v>223476104</v>
      </c>
      <c r="Q101" s="1634">
        <v>223476104</v>
      </c>
      <c r="R101" s="1634">
        <v>0</v>
      </c>
      <c r="S101" s="1634">
        <v>0</v>
      </c>
      <c r="T101" s="1827">
        <f t="shared" si="74"/>
        <v>0</v>
      </c>
      <c r="U101" s="1821">
        <f t="shared" si="74"/>
        <v>0</v>
      </c>
      <c r="V101" s="1153"/>
      <c r="W101" s="221"/>
      <c r="X101" s="101"/>
      <c r="Y101" s="3010"/>
      <c r="Z101" s="1828"/>
    </row>
    <row r="102" spans="1:26" ht="94.5" customHeight="1">
      <c r="A102" s="2969">
        <v>4171</v>
      </c>
      <c r="B102" s="3305"/>
      <c r="C102" s="3306" t="s">
        <v>109</v>
      </c>
      <c r="D102" s="2852" t="s">
        <v>4262</v>
      </c>
      <c r="E102" s="128" t="s">
        <v>4263</v>
      </c>
      <c r="F102" s="111"/>
      <c r="G102" s="1809"/>
      <c r="H102" s="605">
        <f>+H103</f>
        <v>0</v>
      </c>
      <c r="I102" s="1809"/>
      <c r="J102" s="1809"/>
      <c r="K102" s="128">
        <f t="shared" ref="K102:L102" si="81">+K103</f>
        <v>75</v>
      </c>
      <c r="L102" s="1443">
        <f t="shared" si="81"/>
        <v>1</v>
      </c>
      <c r="M102" s="605">
        <f t="shared" ref="M102:N102" si="82">M103</f>
        <v>0</v>
      </c>
      <c r="N102" s="1822">
        <f t="shared" si="82"/>
        <v>0</v>
      </c>
      <c r="O102" s="3302">
        <f>IF(Q102&gt;0,N102,"na")</f>
        <v>0</v>
      </c>
      <c r="P102" s="1634">
        <f t="shared" ref="P102:S102" si="83">SUM(P103)</f>
        <v>288131555</v>
      </c>
      <c r="Q102" s="1634">
        <f t="shared" si="83"/>
        <v>288131555</v>
      </c>
      <c r="R102" s="1634">
        <f t="shared" si="83"/>
        <v>288131555</v>
      </c>
      <c r="S102" s="1634">
        <f t="shared" si="83"/>
        <v>0</v>
      </c>
      <c r="T102" s="134">
        <f t="shared" si="74"/>
        <v>1</v>
      </c>
      <c r="U102" s="1294">
        <f t="shared" si="74"/>
        <v>0</v>
      </c>
      <c r="V102" s="1815"/>
      <c r="W102" s="1815"/>
      <c r="X102" s="101"/>
      <c r="Y102" s="2853" t="s">
        <v>4152</v>
      </c>
      <c r="Z102" s="1828"/>
    </row>
    <row r="103" spans="1:26" s="45" customFormat="1" ht="67.5">
      <c r="A103" s="3010"/>
      <c r="B103" s="3299"/>
      <c r="C103" s="3301"/>
      <c r="D103" s="3010"/>
      <c r="E103" s="128" t="s">
        <v>4264</v>
      </c>
      <c r="F103" s="111"/>
      <c r="G103" s="92" t="s">
        <v>4126</v>
      </c>
      <c r="H103" s="605">
        <f>M103</f>
        <v>0</v>
      </c>
      <c r="I103" s="92" t="s">
        <v>4243</v>
      </c>
      <c r="J103" s="92" t="s">
        <v>2510</v>
      </c>
      <c r="K103" s="128">
        <v>75</v>
      </c>
      <c r="L103" s="1443">
        <v>1</v>
      </c>
      <c r="M103" s="1642">
        <v>0</v>
      </c>
      <c r="N103" s="1443">
        <v>0</v>
      </c>
      <c r="O103" s="3299"/>
      <c r="P103" s="1634">
        <v>288131555</v>
      </c>
      <c r="Q103" s="1634">
        <v>288131555</v>
      </c>
      <c r="R103" s="1634">
        <v>288131555</v>
      </c>
      <c r="S103" s="1634">
        <v>0</v>
      </c>
      <c r="T103" s="1827">
        <f t="shared" si="74"/>
        <v>1</v>
      </c>
      <c r="U103" s="1821">
        <f t="shared" si="74"/>
        <v>0</v>
      </c>
      <c r="V103" s="1153">
        <v>45468</v>
      </c>
      <c r="W103" s="1153">
        <v>45626</v>
      </c>
      <c r="X103" s="101" t="s">
        <v>5645</v>
      </c>
      <c r="Y103" s="3010"/>
      <c r="Z103" s="1828"/>
    </row>
    <row r="104" spans="1:26" ht="16.5" customHeight="1">
      <c r="A104" s="1811"/>
      <c r="B104" s="1637">
        <v>51040020003</v>
      </c>
      <c r="C104" s="1819" t="s">
        <v>103</v>
      </c>
      <c r="D104" s="93" t="s">
        <v>4265</v>
      </c>
      <c r="E104" s="1809"/>
      <c r="F104" s="111">
        <f>K105</f>
        <v>1</v>
      </c>
      <c r="G104" s="1809"/>
      <c r="H104" s="605">
        <f t="shared" ref="H104:H105" si="84">+H105</f>
        <v>0</v>
      </c>
      <c r="I104" s="1809"/>
      <c r="J104" s="1809"/>
      <c r="K104" s="128">
        <f t="shared" ref="K104:K105" si="85">+K105</f>
        <v>1</v>
      </c>
      <c r="L104" s="1818"/>
      <c r="M104" s="128"/>
      <c r="N104" s="128"/>
      <c r="O104" s="128"/>
      <c r="P104" s="1633"/>
      <c r="Q104" s="1633"/>
      <c r="R104" s="1633"/>
      <c r="S104" s="1633"/>
      <c r="T104" s="1633"/>
      <c r="U104" s="655"/>
      <c r="V104" s="1809"/>
      <c r="W104" s="1809"/>
      <c r="X104" s="101"/>
      <c r="Y104" s="1809"/>
      <c r="Z104" s="1828"/>
    </row>
    <row r="105" spans="1:26" ht="94.5" customHeight="1">
      <c r="A105" s="2969">
        <v>4171</v>
      </c>
      <c r="B105" s="3305"/>
      <c r="C105" s="3306" t="s">
        <v>109</v>
      </c>
      <c r="D105" s="2852" t="s">
        <v>4266</v>
      </c>
      <c r="E105" s="128" t="s">
        <v>4267</v>
      </c>
      <c r="F105" s="111"/>
      <c r="G105" s="1809"/>
      <c r="H105" s="605">
        <f t="shared" si="84"/>
        <v>0</v>
      </c>
      <c r="I105" s="1809"/>
      <c r="J105" s="1809"/>
      <c r="K105" s="128">
        <f t="shared" si="85"/>
        <v>1</v>
      </c>
      <c r="L105" s="1443">
        <f>+L106</f>
        <v>1</v>
      </c>
      <c r="M105" s="605">
        <f>M106</f>
        <v>0</v>
      </c>
      <c r="N105" s="1822">
        <f>SUM(N106)</f>
        <v>0.08</v>
      </c>
      <c r="O105" s="3302">
        <f>IF(Q105&gt;0,N105,"na")</f>
        <v>0.08</v>
      </c>
      <c r="P105" s="1816">
        <f t="shared" ref="P105:S105" si="86">SUM(P106)</f>
        <v>350000000</v>
      </c>
      <c r="Q105" s="1816">
        <f t="shared" si="86"/>
        <v>439810000</v>
      </c>
      <c r="R105" s="1816">
        <f t="shared" si="86"/>
        <v>52310000</v>
      </c>
      <c r="S105" s="1816">
        <f t="shared" si="86"/>
        <v>31386000</v>
      </c>
      <c r="T105" s="1294">
        <f t="shared" ref="T105:U106" si="87">IF(Q105=0,0,R105/Q105)</f>
        <v>0.1189377231077056</v>
      </c>
      <c r="U105" s="1294">
        <f t="shared" si="87"/>
        <v>0.6</v>
      </c>
      <c r="V105" s="1815"/>
      <c r="W105" s="1815"/>
      <c r="X105" s="101"/>
      <c r="Y105" s="2853" t="s">
        <v>4152</v>
      </c>
      <c r="Z105" s="1828"/>
    </row>
    <row r="106" spans="1:26" ht="16.5" customHeight="1">
      <c r="A106" s="3010"/>
      <c r="B106" s="3299"/>
      <c r="C106" s="3301"/>
      <c r="D106" s="3010"/>
      <c r="E106" s="128" t="s">
        <v>4268</v>
      </c>
      <c r="F106" s="111"/>
      <c r="G106" s="92" t="s">
        <v>4269</v>
      </c>
      <c r="H106" s="605">
        <f>M106</f>
        <v>0</v>
      </c>
      <c r="I106" s="92" t="s">
        <v>4270</v>
      </c>
      <c r="J106" s="92" t="s">
        <v>4271</v>
      </c>
      <c r="K106" s="128">
        <v>1</v>
      </c>
      <c r="L106" s="1443">
        <v>1</v>
      </c>
      <c r="M106" s="1642">
        <v>0</v>
      </c>
      <c r="N106" s="1822">
        <v>0.08</v>
      </c>
      <c r="O106" s="3299"/>
      <c r="P106" s="1816">
        <v>350000000</v>
      </c>
      <c r="Q106" s="1816">
        <v>439810000</v>
      </c>
      <c r="R106" s="1816">
        <v>52310000</v>
      </c>
      <c r="S106" s="1816">
        <v>31386000</v>
      </c>
      <c r="T106" s="1821">
        <f t="shared" si="87"/>
        <v>0.1189377231077056</v>
      </c>
      <c r="U106" s="1821">
        <f t="shared" si="87"/>
        <v>0.6</v>
      </c>
      <c r="V106" s="1153">
        <v>45310</v>
      </c>
      <c r="W106" s="221">
        <v>45657</v>
      </c>
      <c r="X106" s="101" t="s">
        <v>5675</v>
      </c>
      <c r="Y106" s="3010"/>
      <c r="Z106" s="1828"/>
    </row>
    <row r="107" spans="1:26" ht="16.5" customHeight="1">
      <c r="A107" s="1811"/>
      <c r="B107" s="1637">
        <v>51040020005</v>
      </c>
      <c r="C107" s="1819" t="s">
        <v>103</v>
      </c>
      <c r="D107" s="93" t="s">
        <v>4272</v>
      </c>
      <c r="E107" s="1809"/>
      <c r="F107" s="111">
        <f>K108</f>
        <v>190</v>
      </c>
      <c r="G107" s="1809"/>
      <c r="H107" s="605">
        <f>+H108</f>
        <v>0</v>
      </c>
      <c r="I107" s="1809"/>
      <c r="J107" s="1809"/>
      <c r="K107" s="128">
        <f>+K108</f>
        <v>190</v>
      </c>
      <c r="L107" s="1818"/>
      <c r="M107" s="128"/>
      <c r="N107" s="128"/>
      <c r="O107" s="128"/>
      <c r="P107" s="1633"/>
      <c r="Q107" s="1633"/>
      <c r="R107" s="1633"/>
      <c r="S107" s="1633"/>
      <c r="T107" s="1633"/>
      <c r="U107" s="655"/>
      <c r="V107" s="1809"/>
      <c r="W107" s="1809"/>
      <c r="X107" s="101"/>
      <c r="Y107" s="1809"/>
      <c r="Z107" s="1828"/>
    </row>
    <row r="108" spans="1:26" s="45" customFormat="1" ht="38.25" customHeight="1">
      <c r="A108" s="2969">
        <v>4171</v>
      </c>
      <c r="B108" s="3305"/>
      <c r="C108" s="3306" t="s">
        <v>109</v>
      </c>
      <c r="D108" s="2852" t="s">
        <v>4273</v>
      </c>
      <c r="E108" s="128" t="s">
        <v>4274</v>
      </c>
      <c r="F108" s="111"/>
      <c r="G108" s="1809"/>
      <c r="H108" s="605">
        <f>H109</f>
        <v>0</v>
      </c>
      <c r="I108" s="1809"/>
      <c r="J108" s="1809"/>
      <c r="K108" s="128">
        <f>K109</f>
        <v>190</v>
      </c>
      <c r="L108" s="1443">
        <f>+L109</f>
        <v>1</v>
      </c>
      <c r="M108" s="605">
        <f>M109</f>
        <v>0</v>
      </c>
      <c r="N108" s="1822">
        <f>SUM(N109)</f>
        <v>0</v>
      </c>
      <c r="O108" s="3302">
        <f>IF(Q108&gt;0,N108,"na")</f>
        <v>0</v>
      </c>
      <c r="P108" s="1816">
        <f t="shared" ref="P108:S108" si="88">SUM(P109)</f>
        <v>585610966</v>
      </c>
      <c r="Q108" s="1816">
        <f t="shared" si="88"/>
        <v>585610966</v>
      </c>
      <c r="R108" s="1816">
        <f t="shared" si="88"/>
        <v>585610966</v>
      </c>
      <c r="S108" s="1816">
        <f t="shared" si="88"/>
        <v>0</v>
      </c>
      <c r="T108" s="1294">
        <f t="shared" ref="T108:U109" si="89">IF(Q108=0,0,R108/Q108)</f>
        <v>1</v>
      </c>
      <c r="U108" s="1294">
        <f t="shared" si="89"/>
        <v>0</v>
      </c>
      <c r="V108" s="1815"/>
      <c r="W108" s="1815"/>
      <c r="X108" s="101"/>
      <c r="Y108" s="2853" t="s">
        <v>4152</v>
      </c>
      <c r="Z108" s="1828"/>
    </row>
    <row r="109" spans="1:26" ht="16.5" customHeight="1">
      <c r="A109" s="3010"/>
      <c r="B109" s="3299"/>
      <c r="C109" s="3301"/>
      <c r="D109" s="3010"/>
      <c r="E109" s="128" t="s">
        <v>4275</v>
      </c>
      <c r="F109" s="111"/>
      <c r="G109" s="92" t="s">
        <v>4276</v>
      </c>
      <c r="H109" s="605">
        <f>M109</f>
        <v>0</v>
      </c>
      <c r="I109" s="92" t="s">
        <v>4277</v>
      </c>
      <c r="J109" s="92" t="s">
        <v>4278</v>
      </c>
      <c r="K109" s="128">
        <v>190</v>
      </c>
      <c r="L109" s="1443">
        <v>1</v>
      </c>
      <c r="M109" s="1642">
        <v>0</v>
      </c>
      <c r="N109" s="1822">
        <v>0</v>
      </c>
      <c r="O109" s="3299"/>
      <c r="P109" s="1816">
        <v>585610966</v>
      </c>
      <c r="Q109" s="1816">
        <v>585610966</v>
      </c>
      <c r="R109" s="1816">
        <v>585610966</v>
      </c>
      <c r="S109" s="1816">
        <v>0</v>
      </c>
      <c r="T109" s="1821">
        <f t="shared" si="89"/>
        <v>1</v>
      </c>
      <c r="U109" s="1821">
        <f t="shared" si="89"/>
        <v>0</v>
      </c>
      <c r="V109" s="1153">
        <v>45470</v>
      </c>
      <c r="W109" s="1153">
        <v>45626</v>
      </c>
      <c r="X109" s="101" t="s">
        <v>5645</v>
      </c>
      <c r="Y109" s="3010"/>
      <c r="Z109" s="1828"/>
    </row>
    <row r="110" spans="1:26" ht="31.5">
      <c r="A110" s="1811"/>
      <c r="B110" s="1637">
        <v>5105</v>
      </c>
      <c r="C110" s="1812" t="s">
        <v>101</v>
      </c>
      <c r="D110" s="85" t="s">
        <v>664</v>
      </c>
      <c r="E110" s="1809"/>
      <c r="F110" s="111"/>
      <c r="G110" s="1809"/>
      <c r="H110" s="1809"/>
      <c r="I110" s="1809"/>
      <c r="J110" s="1809"/>
      <c r="K110" s="1809"/>
      <c r="L110" s="1818"/>
      <c r="M110" s="128"/>
      <c r="N110" s="128"/>
      <c r="O110" s="128"/>
      <c r="P110" s="1633"/>
      <c r="Q110" s="1633"/>
      <c r="R110" s="1633"/>
      <c r="S110" s="1633"/>
      <c r="T110" s="1633"/>
      <c r="U110" s="655"/>
      <c r="V110" s="1809"/>
      <c r="W110" s="1809"/>
      <c r="X110" s="101"/>
      <c r="Y110" s="1809"/>
      <c r="Z110" s="1828"/>
    </row>
    <row r="111" spans="1:26" ht="81" customHeight="1">
      <c r="A111" s="1811"/>
      <c r="B111" s="1813">
        <v>5105001</v>
      </c>
      <c r="C111" s="1814" t="s">
        <v>2937</v>
      </c>
      <c r="D111" s="93" t="s">
        <v>4279</v>
      </c>
      <c r="E111" s="1809"/>
      <c r="F111" s="111"/>
      <c r="G111" s="1809"/>
      <c r="H111" s="1809"/>
      <c r="I111" s="1809"/>
      <c r="J111" s="1809"/>
      <c r="K111" s="1809"/>
      <c r="L111" s="1818"/>
      <c r="M111" s="128"/>
      <c r="N111" s="128"/>
      <c r="O111" s="128"/>
      <c r="P111" s="1633"/>
      <c r="Q111" s="1633"/>
      <c r="R111" s="1633"/>
      <c r="S111" s="1633"/>
      <c r="T111" s="1633"/>
      <c r="U111" s="655"/>
      <c r="V111" s="1809"/>
      <c r="W111" s="1809"/>
      <c r="X111" s="101"/>
      <c r="Y111" s="1809"/>
      <c r="Z111" s="1828"/>
    </row>
    <row r="112" spans="1:26" s="45" customFormat="1" ht="25.5" customHeight="1">
      <c r="A112" s="1811"/>
      <c r="B112" s="1637">
        <v>51050010004</v>
      </c>
      <c r="C112" s="1819" t="s">
        <v>103</v>
      </c>
      <c r="D112" s="93" t="s">
        <v>4280</v>
      </c>
      <c r="E112" s="1809"/>
      <c r="F112" s="111">
        <f>K113</f>
        <v>15</v>
      </c>
      <c r="G112" s="1809"/>
      <c r="H112" s="605">
        <f t="shared" ref="H112:H113" si="90">+H113</f>
        <v>0</v>
      </c>
      <c r="I112" s="1809"/>
      <c r="J112" s="1809"/>
      <c r="K112" s="128">
        <f>+K113</f>
        <v>15</v>
      </c>
      <c r="L112" s="1818"/>
      <c r="M112" s="128"/>
      <c r="N112" s="128"/>
      <c r="O112" s="128"/>
      <c r="P112" s="1633"/>
      <c r="Q112" s="1633"/>
      <c r="R112" s="1633"/>
      <c r="S112" s="1633"/>
      <c r="T112" s="1633"/>
      <c r="U112" s="655"/>
      <c r="V112" s="1809"/>
      <c r="W112" s="1809"/>
      <c r="X112" s="101"/>
      <c r="Y112" s="1809"/>
      <c r="Z112" s="1828"/>
    </row>
    <row r="113" spans="1:26" ht="16.5" customHeight="1">
      <c r="A113" s="2969">
        <v>4171</v>
      </c>
      <c r="B113" s="3305"/>
      <c r="C113" s="3306" t="s">
        <v>109</v>
      </c>
      <c r="D113" s="2852" t="s">
        <v>4281</v>
      </c>
      <c r="E113" s="128" t="s">
        <v>4282</v>
      </c>
      <c r="F113" s="111"/>
      <c r="G113" s="1809"/>
      <c r="H113" s="605">
        <f t="shared" si="90"/>
        <v>0</v>
      </c>
      <c r="I113" s="1809"/>
      <c r="J113" s="1809"/>
      <c r="K113" s="128">
        <f>K115</f>
        <v>15</v>
      </c>
      <c r="L113" s="1443">
        <f>+L114+L115</f>
        <v>1</v>
      </c>
      <c r="M113" s="605">
        <f>M115</f>
        <v>0</v>
      </c>
      <c r="N113" s="1822">
        <f>SUM(N114:N115)</f>
        <v>0.03</v>
      </c>
      <c r="O113" s="3302">
        <f>IF(Q113&gt;0,N113,"na")</f>
        <v>0.03</v>
      </c>
      <c r="P113" s="1816">
        <f t="shared" ref="P113:S113" si="91">SUM(P114:P115)</f>
        <v>102948000</v>
      </c>
      <c r="Q113" s="1816">
        <f t="shared" si="91"/>
        <v>102948000</v>
      </c>
      <c r="R113" s="1816">
        <f t="shared" si="91"/>
        <v>17752000</v>
      </c>
      <c r="S113" s="1816">
        <f t="shared" si="91"/>
        <v>17752000</v>
      </c>
      <c r="T113" s="1294">
        <f t="shared" ref="T113:U115" si="92">IF(Q113=0,0,R113/Q113)</f>
        <v>0.17243656991879394</v>
      </c>
      <c r="U113" s="1294">
        <f t="shared" si="92"/>
        <v>1</v>
      </c>
      <c r="V113" s="1815"/>
      <c r="W113" s="1815"/>
      <c r="X113" s="101"/>
      <c r="Y113" s="2853" t="s">
        <v>4152</v>
      </c>
      <c r="Z113" s="1828"/>
    </row>
    <row r="114" spans="1:26" ht="54" customHeight="1">
      <c r="A114" s="3009"/>
      <c r="B114" s="3303"/>
      <c r="C114" s="3304"/>
      <c r="D114" s="3009"/>
      <c r="E114" s="128" t="s">
        <v>4283</v>
      </c>
      <c r="F114" s="3112"/>
      <c r="G114" s="2853" t="s">
        <v>4284</v>
      </c>
      <c r="H114" s="2995">
        <f>M115</f>
        <v>0</v>
      </c>
      <c r="I114" s="92" t="s">
        <v>4285</v>
      </c>
      <c r="J114" s="92" t="s">
        <v>2510</v>
      </c>
      <c r="K114" s="128">
        <v>15</v>
      </c>
      <c r="L114" s="1443">
        <v>0.4</v>
      </c>
      <c r="M114" s="1642">
        <v>0</v>
      </c>
      <c r="N114" s="1822">
        <v>0</v>
      </c>
      <c r="O114" s="3303"/>
      <c r="P114" s="1816">
        <v>15346400</v>
      </c>
      <c r="Q114" s="1816">
        <v>15346400</v>
      </c>
      <c r="R114" s="1816">
        <v>0</v>
      </c>
      <c r="S114" s="1816">
        <v>0</v>
      </c>
      <c r="T114" s="1821">
        <f t="shared" si="92"/>
        <v>0</v>
      </c>
      <c r="U114" s="1821">
        <f t="shared" si="92"/>
        <v>0</v>
      </c>
      <c r="V114" s="1153"/>
      <c r="W114" s="221"/>
      <c r="X114" s="101"/>
      <c r="Y114" s="3009"/>
      <c r="Z114" s="1828"/>
    </row>
    <row r="115" spans="1:26" ht="140.25">
      <c r="A115" s="3010"/>
      <c r="B115" s="3299"/>
      <c r="C115" s="3301"/>
      <c r="D115" s="3010"/>
      <c r="E115" s="128" t="s">
        <v>4286</v>
      </c>
      <c r="F115" s="3010"/>
      <c r="G115" s="3010"/>
      <c r="H115" s="3010"/>
      <c r="I115" s="92" t="s">
        <v>4287</v>
      </c>
      <c r="J115" s="92" t="s">
        <v>4122</v>
      </c>
      <c r="K115" s="128">
        <v>15</v>
      </c>
      <c r="L115" s="1443">
        <v>0.6</v>
      </c>
      <c r="M115" s="1642">
        <v>0</v>
      </c>
      <c r="N115" s="1822">
        <v>0.03</v>
      </c>
      <c r="O115" s="3299"/>
      <c r="P115" s="1816">
        <v>87601600</v>
      </c>
      <c r="Q115" s="1816">
        <v>87601600</v>
      </c>
      <c r="R115" s="1816">
        <v>17752000</v>
      </c>
      <c r="S115" s="1816">
        <v>17752000</v>
      </c>
      <c r="T115" s="1821">
        <f t="shared" si="92"/>
        <v>0.20264470055341455</v>
      </c>
      <c r="U115" s="1821">
        <f t="shared" si="92"/>
        <v>1</v>
      </c>
      <c r="V115" s="1153">
        <v>45370</v>
      </c>
      <c r="W115" s="221">
        <v>45657</v>
      </c>
      <c r="X115" s="101" t="s">
        <v>5676</v>
      </c>
      <c r="Y115" s="3010"/>
      <c r="Z115" s="1828"/>
    </row>
    <row r="116" spans="1:26" s="45" customFormat="1" ht="13.5" customHeight="1">
      <c r="A116" s="1811"/>
      <c r="B116" s="1637">
        <v>51050010005</v>
      </c>
      <c r="C116" s="1819" t="s">
        <v>103</v>
      </c>
      <c r="D116" s="93" t="s">
        <v>4288</v>
      </c>
      <c r="E116" s="1809"/>
      <c r="F116" s="111">
        <f>K117</f>
        <v>15</v>
      </c>
      <c r="G116" s="1809"/>
      <c r="H116" s="605">
        <f>+H117</f>
        <v>0</v>
      </c>
      <c r="I116" s="1809"/>
      <c r="J116" s="1809"/>
      <c r="K116" s="128">
        <f>+K117</f>
        <v>15</v>
      </c>
      <c r="L116" s="1818"/>
      <c r="M116" s="128"/>
      <c r="N116" s="128"/>
      <c r="O116" s="128"/>
      <c r="P116" s="1633"/>
      <c r="Q116" s="1633"/>
      <c r="R116" s="1633"/>
      <c r="S116" s="1633"/>
      <c r="T116" s="1633"/>
      <c r="U116" s="655"/>
      <c r="V116" s="1809"/>
      <c r="W116" s="1809"/>
      <c r="X116" s="101"/>
      <c r="Y116" s="1809"/>
      <c r="Z116" s="1828"/>
    </row>
    <row r="117" spans="1:26" ht="16.5" customHeight="1">
      <c r="A117" s="2969">
        <v>4171</v>
      </c>
      <c r="B117" s="3298"/>
      <c r="C117" s="3300" t="s">
        <v>109</v>
      </c>
      <c r="D117" s="2852" t="s">
        <v>4289</v>
      </c>
      <c r="E117" s="128" t="s">
        <v>4290</v>
      </c>
      <c r="F117" s="111"/>
      <c r="G117" s="1809"/>
      <c r="H117" s="605">
        <f>H118</f>
        <v>0</v>
      </c>
      <c r="I117" s="1809"/>
      <c r="J117" s="1809"/>
      <c r="K117" s="128">
        <f>K119</f>
        <v>15</v>
      </c>
      <c r="L117" s="1443">
        <f>+L118+L119</f>
        <v>1</v>
      </c>
      <c r="M117" s="605">
        <f>M119</f>
        <v>0</v>
      </c>
      <c r="N117" s="1822">
        <f>SUM(N118:N119)</f>
        <v>7.0000000000000007E-2</v>
      </c>
      <c r="O117" s="3302">
        <f>IF(Q117&gt;0,N117,"na")</f>
        <v>7.0000000000000007E-2</v>
      </c>
      <c r="P117" s="1816">
        <f t="shared" ref="P117:S117" si="93">SUM(P118:P119)</f>
        <v>350000000</v>
      </c>
      <c r="Q117" s="1816">
        <f t="shared" si="93"/>
        <v>417205802</v>
      </c>
      <c r="R117" s="1816">
        <f t="shared" si="93"/>
        <v>221519000</v>
      </c>
      <c r="S117" s="1816">
        <f t="shared" si="93"/>
        <v>111337000</v>
      </c>
      <c r="T117" s="1294">
        <f t="shared" ref="T117:U119" si="94">IF(Q117=0,0,R117/Q117)</f>
        <v>0.53095857952617831</v>
      </c>
      <c r="U117" s="1294">
        <f t="shared" si="94"/>
        <v>0.50260699985102864</v>
      </c>
      <c r="V117" s="1815"/>
      <c r="W117" s="1815"/>
      <c r="X117" s="101"/>
      <c r="Y117" s="2853" t="s">
        <v>4152</v>
      </c>
      <c r="Z117" s="1828"/>
    </row>
    <row r="118" spans="1:26" ht="54" customHeight="1">
      <c r="A118" s="3009"/>
      <c r="B118" s="3303"/>
      <c r="C118" s="3304"/>
      <c r="D118" s="3009"/>
      <c r="E118" s="128" t="s">
        <v>4291</v>
      </c>
      <c r="F118" s="3112"/>
      <c r="G118" s="2852" t="s">
        <v>4288</v>
      </c>
      <c r="H118" s="2995">
        <f>M119</f>
        <v>0</v>
      </c>
      <c r="I118" s="92" t="s">
        <v>4292</v>
      </c>
      <c r="J118" s="92" t="s">
        <v>4293</v>
      </c>
      <c r="K118" s="128">
        <v>15</v>
      </c>
      <c r="L118" s="1443">
        <v>0.3</v>
      </c>
      <c r="M118" s="1642">
        <v>0</v>
      </c>
      <c r="N118" s="1822">
        <v>0</v>
      </c>
      <c r="O118" s="3303"/>
      <c r="P118" s="1816">
        <v>48394800</v>
      </c>
      <c r="Q118" s="1816">
        <v>48394800</v>
      </c>
      <c r="R118" s="1816">
        <v>0</v>
      </c>
      <c r="S118" s="1816">
        <v>0</v>
      </c>
      <c r="T118" s="1821">
        <f t="shared" si="94"/>
        <v>0</v>
      </c>
      <c r="U118" s="1821">
        <f t="shared" si="94"/>
        <v>0</v>
      </c>
      <c r="V118" s="1153"/>
      <c r="W118" s="221"/>
      <c r="X118" s="101"/>
      <c r="Y118" s="3009"/>
      <c r="Z118" s="1828"/>
    </row>
    <row r="119" spans="1:26" ht="81" customHeight="1">
      <c r="A119" s="3010"/>
      <c r="B119" s="3299"/>
      <c r="C119" s="3301"/>
      <c r="D119" s="3010"/>
      <c r="E119" s="128" t="s">
        <v>4294</v>
      </c>
      <c r="F119" s="3010"/>
      <c r="G119" s="3010"/>
      <c r="H119" s="3010"/>
      <c r="I119" s="92" t="s">
        <v>4295</v>
      </c>
      <c r="J119" s="92" t="s">
        <v>4296</v>
      </c>
      <c r="K119" s="128">
        <v>15</v>
      </c>
      <c r="L119" s="1443">
        <v>0.7</v>
      </c>
      <c r="M119" s="1642">
        <v>0</v>
      </c>
      <c r="N119" s="1822">
        <v>7.0000000000000007E-2</v>
      </c>
      <c r="O119" s="3299"/>
      <c r="P119" s="1816">
        <v>301605200</v>
      </c>
      <c r="Q119" s="1816">
        <v>368811002</v>
      </c>
      <c r="R119" s="1816">
        <v>221519000</v>
      </c>
      <c r="S119" s="1816">
        <v>111337000</v>
      </c>
      <c r="T119" s="1821">
        <f t="shared" si="94"/>
        <v>0.60063012979206076</v>
      </c>
      <c r="U119" s="1821">
        <f t="shared" si="94"/>
        <v>0.50260699985102864</v>
      </c>
      <c r="V119" s="1153">
        <v>45310</v>
      </c>
      <c r="W119" s="221">
        <v>45657</v>
      </c>
      <c r="X119" s="101" t="s">
        <v>5677</v>
      </c>
      <c r="Y119" s="3010"/>
      <c r="Z119" s="1828"/>
    </row>
    <row r="120" spans="1:26" ht="33" customHeight="1">
      <c r="A120" s="1811"/>
      <c r="B120" s="1813">
        <v>51050010008</v>
      </c>
      <c r="C120" s="1814" t="s">
        <v>103</v>
      </c>
      <c r="D120" s="93" t="s">
        <v>4297</v>
      </c>
      <c r="E120" s="1809"/>
      <c r="F120" s="111">
        <f>K121</f>
        <v>1000</v>
      </c>
      <c r="G120" s="1809"/>
      <c r="H120" s="605">
        <f t="shared" ref="H120:H121" si="95">+H121</f>
        <v>0</v>
      </c>
      <c r="I120" s="1809"/>
      <c r="J120" s="1809"/>
      <c r="K120" s="128">
        <f t="shared" ref="K120:K121" si="96">+K121</f>
        <v>1000</v>
      </c>
      <c r="L120" s="1818"/>
      <c r="M120" s="128"/>
      <c r="N120" s="128"/>
      <c r="O120" s="128"/>
      <c r="P120" s="1633"/>
      <c r="Q120" s="1633"/>
      <c r="R120" s="1633"/>
      <c r="S120" s="1633"/>
      <c r="T120" s="1633"/>
      <c r="U120" s="655"/>
      <c r="V120" s="1809"/>
      <c r="W120" s="1809"/>
      <c r="X120" s="101"/>
      <c r="Y120" s="1809"/>
      <c r="Z120" s="1828"/>
    </row>
    <row r="121" spans="1:26" s="45" customFormat="1" ht="13.5" customHeight="1">
      <c r="A121" s="2969">
        <v>4171</v>
      </c>
      <c r="B121" s="3305"/>
      <c r="C121" s="3306" t="s">
        <v>109</v>
      </c>
      <c r="D121" s="2852" t="s">
        <v>4298</v>
      </c>
      <c r="E121" s="128" t="s">
        <v>4299</v>
      </c>
      <c r="F121" s="111"/>
      <c r="G121" s="1809"/>
      <c r="H121" s="605">
        <f t="shared" si="95"/>
        <v>0</v>
      </c>
      <c r="I121" s="1809"/>
      <c r="J121" s="1809"/>
      <c r="K121" s="128">
        <f t="shared" si="96"/>
        <v>1000</v>
      </c>
      <c r="L121" s="1443">
        <f>+L122+L123</f>
        <v>1</v>
      </c>
      <c r="M121" s="605">
        <f>M122</f>
        <v>0</v>
      </c>
      <c r="N121" s="1822">
        <f>SUM(N122:N123)</f>
        <v>0.05</v>
      </c>
      <c r="O121" s="3302">
        <f>IF(Q121&gt;0,N121,"na")</f>
        <v>0.05</v>
      </c>
      <c r="P121" s="1816">
        <f t="shared" ref="P121:S121" si="97">SUM(P122:P123)</f>
        <v>12462107679</v>
      </c>
      <c r="Q121" s="1816">
        <f t="shared" si="97"/>
        <v>22502287435</v>
      </c>
      <c r="R121" s="1816">
        <f t="shared" si="97"/>
        <v>334741000</v>
      </c>
      <c r="S121" s="1816">
        <f t="shared" si="97"/>
        <v>119009000</v>
      </c>
      <c r="T121" s="1294">
        <f t="shared" ref="T121:U123" si="98">IF(Q121=0,0,R121/Q121)</f>
        <v>1.4875865441099322E-2</v>
      </c>
      <c r="U121" s="1294">
        <f t="shared" si="98"/>
        <v>0.35552561532647631</v>
      </c>
      <c r="V121" s="1815"/>
      <c r="W121" s="1815"/>
      <c r="X121" s="101"/>
      <c r="Y121" s="2853" t="s">
        <v>4300</v>
      </c>
      <c r="Z121" s="1828"/>
    </row>
    <row r="122" spans="1:26" ht="16.5" customHeight="1">
      <c r="A122" s="3009"/>
      <c r="B122" s="3303"/>
      <c r="C122" s="3304"/>
      <c r="D122" s="3009"/>
      <c r="E122" s="128" t="s">
        <v>4301</v>
      </c>
      <c r="F122" s="3112"/>
      <c r="G122" s="92" t="s">
        <v>4302</v>
      </c>
      <c r="H122" s="605">
        <f>M122</f>
        <v>0</v>
      </c>
      <c r="I122" s="92" t="s">
        <v>4303</v>
      </c>
      <c r="J122" s="92" t="s">
        <v>4304</v>
      </c>
      <c r="K122" s="128">
        <v>1000</v>
      </c>
      <c r="L122" s="1443">
        <v>0.98</v>
      </c>
      <c r="M122" s="1642">
        <v>0</v>
      </c>
      <c r="N122" s="1822">
        <v>0</v>
      </c>
      <c r="O122" s="3303"/>
      <c r="P122" s="1816">
        <v>11838107679</v>
      </c>
      <c r="Q122" s="1816">
        <v>20796018330</v>
      </c>
      <c r="R122" s="1816">
        <v>0</v>
      </c>
      <c r="S122" s="1816">
        <v>0</v>
      </c>
      <c r="T122" s="1821">
        <f t="shared" si="98"/>
        <v>0</v>
      </c>
      <c r="U122" s="1821">
        <f t="shared" si="98"/>
        <v>0</v>
      </c>
      <c r="V122" s="1153"/>
      <c r="W122" s="221"/>
      <c r="X122" s="101"/>
      <c r="Y122" s="3009"/>
      <c r="Z122" s="1828"/>
    </row>
    <row r="123" spans="1:26" ht="162" customHeight="1">
      <c r="A123" s="3010"/>
      <c r="B123" s="3299"/>
      <c r="C123" s="3301"/>
      <c r="D123" s="3010"/>
      <c r="E123" s="128" t="s">
        <v>4305</v>
      </c>
      <c r="F123" s="3010"/>
      <c r="G123" s="1809"/>
      <c r="H123" s="1809"/>
      <c r="I123" s="92" t="s">
        <v>4306</v>
      </c>
      <c r="J123" s="92" t="s">
        <v>4307</v>
      </c>
      <c r="K123" s="128">
        <v>100</v>
      </c>
      <c r="L123" s="1443">
        <v>0.02</v>
      </c>
      <c r="M123" s="1642">
        <v>0</v>
      </c>
      <c r="N123" s="1822">
        <v>0.05</v>
      </c>
      <c r="O123" s="3299"/>
      <c r="P123" s="1816">
        <v>624000000</v>
      </c>
      <c r="Q123" s="1816">
        <v>1706269105</v>
      </c>
      <c r="R123" s="1816">
        <v>334741000</v>
      </c>
      <c r="S123" s="1816">
        <v>119009000</v>
      </c>
      <c r="T123" s="1821">
        <f t="shared" si="98"/>
        <v>0.19618300479044307</v>
      </c>
      <c r="U123" s="1821">
        <f t="shared" si="98"/>
        <v>0.35552561532647631</v>
      </c>
      <c r="V123" s="1153">
        <v>45321</v>
      </c>
      <c r="W123" s="221">
        <v>45657</v>
      </c>
      <c r="X123" s="101" t="s">
        <v>5678</v>
      </c>
      <c r="Y123" s="3010"/>
      <c r="Z123" s="1828"/>
    </row>
    <row r="124" spans="1:26" ht="54" customHeight="1">
      <c r="A124" s="1811"/>
      <c r="B124" s="1813">
        <v>5105002</v>
      </c>
      <c r="C124" s="1814" t="s">
        <v>102</v>
      </c>
      <c r="D124" s="93" t="s">
        <v>665</v>
      </c>
      <c r="E124" s="1809"/>
      <c r="F124" s="111"/>
      <c r="G124" s="1809"/>
      <c r="H124" s="1809"/>
      <c r="I124" s="1809"/>
      <c r="J124" s="1809"/>
      <c r="K124" s="1809"/>
      <c r="L124" s="1818"/>
      <c r="M124" s="128"/>
      <c r="N124" s="128"/>
      <c r="O124" s="128"/>
      <c r="P124" s="1633"/>
      <c r="Q124" s="1633"/>
      <c r="R124" s="1633"/>
      <c r="S124" s="1633"/>
      <c r="T124" s="1633"/>
      <c r="U124" s="655"/>
      <c r="V124" s="1809"/>
      <c r="W124" s="1809"/>
      <c r="X124" s="101"/>
      <c r="Y124" s="1809"/>
      <c r="Z124" s="1828"/>
    </row>
    <row r="125" spans="1:26" s="45" customFormat="1" ht="13.5" customHeight="1">
      <c r="A125" s="1811"/>
      <c r="B125" s="1637">
        <v>51050020002</v>
      </c>
      <c r="C125" s="1819" t="s">
        <v>103</v>
      </c>
      <c r="D125" s="93" t="s">
        <v>4308</v>
      </c>
      <c r="E125" s="1809"/>
      <c r="F125" s="111">
        <f>K126</f>
        <v>5</v>
      </c>
      <c r="G125" s="1809"/>
      <c r="H125" s="128">
        <f>+H126</f>
        <v>5</v>
      </c>
      <c r="I125" s="1809"/>
      <c r="J125" s="1809"/>
      <c r="K125" s="128">
        <f>+K126</f>
        <v>5</v>
      </c>
      <c r="L125" s="1818"/>
      <c r="M125" s="128"/>
      <c r="N125" s="128"/>
      <c r="O125" s="128"/>
      <c r="P125" s="1633"/>
      <c r="Q125" s="1633"/>
      <c r="R125" s="1633"/>
      <c r="S125" s="1633"/>
      <c r="T125" s="1633"/>
      <c r="U125" s="655"/>
      <c r="V125" s="1809"/>
      <c r="W125" s="1809"/>
      <c r="X125" s="101"/>
      <c r="Y125" s="1809"/>
      <c r="Z125" s="1828"/>
    </row>
    <row r="126" spans="1:26" ht="16.5" customHeight="1">
      <c r="A126" s="2969">
        <v>4171</v>
      </c>
      <c r="B126" s="3298"/>
      <c r="C126" s="3300" t="s">
        <v>109</v>
      </c>
      <c r="D126" s="2852" t="s">
        <v>4309</v>
      </c>
      <c r="E126" s="128" t="s">
        <v>4310</v>
      </c>
      <c r="F126" s="111"/>
      <c r="G126" s="1809"/>
      <c r="H126" s="128">
        <f>+H128</f>
        <v>5</v>
      </c>
      <c r="I126" s="1809"/>
      <c r="J126" s="1809"/>
      <c r="K126" s="128">
        <f>+K128</f>
        <v>5</v>
      </c>
      <c r="L126" s="1443">
        <f>+L127+L128</f>
        <v>1</v>
      </c>
      <c r="M126" s="605">
        <f>M128</f>
        <v>0</v>
      </c>
      <c r="N126" s="1822">
        <f>SUM(N127:N128)</f>
        <v>6.3E-2</v>
      </c>
      <c r="O126" s="3302">
        <f>IF(Q126&gt;0,N126,"na")</f>
        <v>6.3E-2</v>
      </c>
      <c r="P126" s="1823">
        <f t="shared" ref="P126:S126" si="99">SUM(P127:P128)</f>
        <v>300000000</v>
      </c>
      <c r="Q126" s="1823">
        <f t="shared" si="99"/>
        <v>300000000</v>
      </c>
      <c r="R126" s="1823">
        <f t="shared" si="99"/>
        <v>80997000</v>
      </c>
      <c r="S126" s="1823">
        <f t="shared" si="99"/>
        <v>42321000</v>
      </c>
      <c r="T126" s="1294">
        <f t="shared" ref="T126:U128" si="100">IF(Q126=0,0,R126/Q126)</f>
        <v>0.26999000000000001</v>
      </c>
      <c r="U126" s="1294">
        <f t="shared" si="100"/>
        <v>0.52250083336419872</v>
      </c>
      <c r="V126" s="1815"/>
      <c r="W126" s="1815"/>
      <c r="X126" s="101"/>
      <c r="Y126" s="2853" t="s">
        <v>4152</v>
      </c>
      <c r="Z126" s="1828"/>
    </row>
    <row r="127" spans="1:26" ht="243" customHeight="1">
      <c r="A127" s="3009"/>
      <c r="B127" s="3303"/>
      <c r="C127" s="3304"/>
      <c r="D127" s="3009"/>
      <c r="E127" s="128" t="s">
        <v>4311</v>
      </c>
      <c r="F127" s="3112"/>
      <c r="G127" s="1809"/>
      <c r="H127" s="1809"/>
      <c r="I127" s="92" t="s">
        <v>4312</v>
      </c>
      <c r="J127" s="92" t="s">
        <v>4313</v>
      </c>
      <c r="K127" s="128">
        <v>50</v>
      </c>
      <c r="L127" s="1443">
        <v>0.35</v>
      </c>
      <c r="M127" s="1642">
        <v>0</v>
      </c>
      <c r="N127" s="1822">
        <v>6.3E-2</v>
      </c>
      <c r="O127" s="3303"/>
      <c r="P127" s="1823">
        <v>133425600</v>
      </c>
      <c r="Q127" s="1823">
        <v>133425600</v>
      </c>
      <c r="R127" s="1823">
        <v>80997000</v>
      </c>
      <c r="S127" s="1823">
        <v>42321000</v>
      </c>
      <c r="T127" s="1821">
        <f t="shared" si="100"/>
        <v>0.60705741626794263</v>
      </c>
      <c r="U127" s="1821">
        <f t="shared" si="100"/>
        <v>0.52250083336419872</v>
      </c>
      <c r="V127" s="1153">
        <v>45322</v>
      </c>
      <c r="W127" s="221">
        <v>45657</v>
      </c>
      <c r="X127" s="101" t="s">
        <v>5679</v>
      </c>
      <c r="Y127" s="3009"/>
      <c r="Z127" s="1828"/>
    </row>
    <row r="128" spans="1:26" ht="40.5">
      <c r="A128" s="3010"/>
      <c r="B128" s="3299"/>
      <c r="C128" s="3301"/>
      <c r="D128" s="3010"/>
      <c r="E128" s="128" t="s">
        <v>4314</v>
      </c>
      <c r="F128" s="3010"/>
      <c r="G128" s="92" t="s">
        <v>4308</v>
      </c>
      <c r="H128" s="128">
        <v>5</v>
      </c>
      <c r="I128" s="92" t="s">
        <v>4315</v>
      </c>
      <c r="J128" s="92" t="s">
        <v>4316</v>
      </c>
      <c r="K128" s="128">
        <v>5</v>
      </c>
      <c r="L128" s="1443">
        <v>0.65</v>
      </c>
      <c r="M128" s="1642">
        <v>0</v>
      </c>
      <c r="N128" s="1822">
        <v>0</v>
      </c>
      <c r="O128" s="3299"/>
      <c r="P128" s="1823">
        <v>166574400</v>
      </c>
      <c r="Q128" s="1823">
        <v>166574400</v>
      </c>
      <c r="R128" s="1823">
        <v>0</v>
      </c>
      <c r="S128" s="1823">
        <v>0</v>
      </c>
      <c r="T128" s="1821">
        <f t="shared" si="100"/>
        <v>0</v>
      </c>
      <c r="U128" s="1821">
        <f t="shared" si="100"/>
        <v>0</v>
      </c>
      <c r="V128" s="1153"/>
      <c r="W128" s="221"/>
      <c r="X128" s="101"/>
      <c r="Y128" s="3010"/>
      <c r="Z128" s="1828"/>
    </row>
    <row r="129" spans="1:26" ht="33">
      <c r="A129" s="1811"/>
      <c r="B129" s="1813">
        <v>51050020003</v>
      </c>
      <c r="C129" s="1814" t="s">
        <v>103</v>
      </c>
      <c r="D129" s="93" t="s">
        <v>4317</v>
      </c>
      <c r="E129" s="1809"/>
      <c r="F129" s="111">
        <f>K130</f>
        <v>1</v>
      </c>
      <c r="G129" s="1809"/>
      <c r="H129" s="1420">
        <f t="shared" ref="H129:H130" si="101">+H130</f>
        <v>0</v>
      </c>
      <c r="I129" s="1809"/>
      <c r="J129" s="1809"/>
      <c r="K129" s="128">
        <f t="shared" ref="K129:K130" si="102">K130</f>
        <v>1</v>
      </c>
      <c r="L129" s="1818"/>
      <c r="M129" s="128"/>
      <c r="N129" s="128"/>
      <c r="O129" s="128"/>
      <c r="P129" s="1633"/>
      <c r="Q129" s="1633"/>
      <c r="R129" s="1633"/>
      <c r="S129" s="1633"/>
      <c r="T129" s="1633"/>
      <c r="U129" s="655"/>
      <c r="V129" s="1809"/>
      <c r="W129" s="1809"/>
      <c r="X129" s="101"/>
      <c r="Y129" s="1809"/>
      <c r="Z129" s="1828"/>
    </row>
    <row r="130" spans="1:26" ht="16.5" customHeight="1">
      <c r="A130" s="2969">
        <v>4171</v>
      </c>
      <c r="B130" s="3305"/>
      <c r="C130" s="3306" t="s">
        <v>109</v>
      </c>
      <c r="D130" s="2852" t="s">
        <v>4318</v>
      </c>
      <c r="E130" s="128" t="s">
        <v>4319</v>
      </c>
      <c r="F130" s="111"/>
      <c r="G130" s="1809"/>
      <c r="H130" s="1420">
        <f t="shared" si="101"/>
        <v>0</v>
      </c>
      <c r="I130" s="1809"/>
      <c r="J130" s="1809"/>
      <c r="K130" s="128">
        <f t="shared" si="102"/>
        <v>1</v>
      </c>
      <c r="L130" s="1443">
        <f>+L131</f>
        <v>1</v>
      </c>
      <c r="M130" s="89">
        <f>M131</f>
        <v>0</v>
      </c>
      <c r="N130" s="1822">
        <f>SUM(N131:N132)</f>
        <v>0.23</v>
      </c>
      <c r="O130" s="3302">
        <f>IF(Q130&gt;0,N130,"na")</f>
        <v>0.23</v>
      </c>
      <c r="P130" s="1816">
        <f t="shared" ref="P130:Q130" si="103">SUM(P131)</f>
        <v>400000000</v>
      </c>
      <c r="Q130" s="1816">
        <f t="shared" si="103"/>
        <v>400000000</v>
      </c>
      <c r="R130" s="1816">
        <f t="shared" ref="R130:S130" si="104">SUM(R131:R132)</f>
        <v>144322500</v>
      </c>
      <c r="S130" s="1816">
        <f t="shared" si="104"/>
        <v>78747000</v>
      </c>
      <c r="T130" s="1294">
        <f t="shared" ref="T130:U131" si="105">IF(Q130=0,0,R130/Q130)</f>
        <v>0.36080625</v>
      </c>
      <c r="U130" s="1294">
        <f t="shared" si="105"/>
        <v>0.54563217793483343</v>
      </c>
      <c r="V130" s="1815"/>
      <c r="W130" s="1815"/>
      <c r="X130" s="101"/>
      <c r="Y130" s="2853" t="s">
        <v>4152</v>
      </c>
      <c r="Z130" s="1828"/>
    </row>
    <row r="131" spans="1:26" s="45" customFormat="1" ht="25.5" customHeight="1">
      <c r="A131" s="3010"/>
      <c r="B131" s="3299"/>
      <c r="C131" s="3301"/>
      <c r="D131" s="3010"/>
      <c r="E131" s="128" t="s">
        <v>4320</v>
      </c>
      <c r="F131" s="111"/>
      <c r="G131" s="92" t="s">
        <v>4321</v>
      </c>
      <c r="H131" s="1420">
        <f>M131</f>
        <v>0</v>
      </c>
      <c r="I131" s="92" t="s">
        <v>4322</v>
      </c>
      <c r="J131" s="92" t="s">
        <v>4323</v>
      </c>
      <c r="K131" s="128">
        <v>1</v>
      </c>
      <c r="L131" s="1443">
        <v>1</v>
      </c>
      <c r="M131" s="1829">
        <v>0</v>
      </c>
      <c r="N131" s="1822">
        <v>0.23</v>
      </c>
      <c r="O131" s="3299"/>
      <c r="P131" s="1816">
        <v>400000000</v>
      </c>
      <c r="Q131" s="1816">
        <v>400000000</v>
      </c>
      <c r="R131" s="1816">
        <v>144322500</v>
      </c>
      <c r="S131" s="1816">
        <v>78747000</v>
      </c>
      <c r="T131" s="1821">
        <f t="shared" si="105"/>
        <v>0.36080625</v>
      </c>
      <c r="U131" s="1821">
        <f t="shared" si="105"/>
        <v>0.54563217793483343</v>
      </c>
      <c r="V131" s="1153">
        <v>45322</v>
      </c>
      <c r="W131" s="221">
        <v>45657</v>
      </c>
      <c r="X131" s="101" t="s">
        <v>5680</v>
      </c>
      <c r="Y131" s="3010"/>
      <c r="Z131" s="1828"/>
    </row>
    <row r="132" spans="1:26" ht="16.5" customHeight="1">
      <c r="A132" s="1811"/>
      <c r="B132" s="1813">
        <v>53</v>
      </c>
      <c r="C132" s="1824" t="s">
        <v>100</v>
      </c>
      <c r="D132" s="85" t="s">
        <v>175</v>
      </c>
      <c r="E132" s="1809"/>
      <c r="F132" s="111"/>
      <c r="G132" s="1809"/>
      <c r="H132" s="1809"/>
      <c r="I132" s="1809"/>
      <c r="J132" s="1809"/>
      <c r="K132" s="1809"/>
      <c r="L132" s="1818"/>
      <c r="M132" s="128"/>
      <c r="N132" s="128"/>
      <c r="O132" s="128"/>
      <c r="P132" s="1633"/>
      <c r="Q132" s="1633"/>
      <c r="R132" s="1633"/>
      <c r="S132" s="1633"/>
      <c r="T132" s="1633"/>
      <c r="U132" s="655"/>
      <c r="V132" s="1809"/>
      <c r="W132" s="1809"/>
      <c r="X132" s="101"/>
      <c r="Y132" s="1809"/>
      <c r="Z132" s="1828"/>
    </row>
    <row r="133" spans="1:26" ht="67.5" customHeight="1">
      <c r="A133" s="1811"/>
      <c r="B133" s="1813">
        <v>5302</v>
      </c>
      <c r="C133" s="1824" t="s">
        <v>101</v>
      </c>
      <c r="D133" s="85" t="s">
        <v>176</v>
      </c>
      <c r="E133" s="1809"/>
      <c r="F133" s="111"/>
      <c r="G133" s="1809"/>
      <c r="H133" s="1809"/>
      <c r="I133" s="1809"/>
      <c r="J133" s="1809"/>
      <c r="K133" s="1809"/>
      <c r="L133" s="1818"/>
      <c r="M133" s="128"/>
      <c r="N133" s="128"/>
      <c r="O133" s="128"/>
      <c r="P133" s="1633"/>
      <c r="Q133" s="1633"/>
      <c r="R133" s="1633"/>
      <c r="S133" s="1633"/>
      <c r="T133" s="1633"/>
      <c r="U133" s="655"/>
      <c r="V133" s="1809"/>
      <c r="W133" s="1809"/>
      <c r="X133" s="101"/>
      <c r="Y133" s="1809"/>
      <c r="Z133" s="1828"/>
    </row>
    <row r="134" spans="1:26" ht="94.5" customHeight="1">
      <c r="A134" s="1811"/>
      <c r="B134" s="1637">
        <v>5302002</v>
      </c>
      <c r="C134" s="1819" t="s">
        <v>102</v>
      </c>
      <c r="D134" s="93" t="s">
        <v>4324</v>
      </c>
      <c r="E134" s="1809"/>
      <c r="F134" s="111"/>
      <c r="G134" s="1809"/>
      <c r="H134" s="1809"/>
      <c r="I134" s="1809"/>
      <c r="J134" s="1809"/>
      <c r="K134" s="1809"/>
      <c r="L134" s="1818"/>
      <c r="M134" s="128"/>
      <c r="N134" s="128"/>
      <c r="O134" s="128"/>
      <c r="P134" s="1633"/>
      <c r="Q134" s="1633"/>
      <c r="R134" s="1633"/>
      <c r="S134" s="1633"/>
      <c r="T134" s="1633"/>
      <c r="U134" s="655"/>
      <c r="V134" s="1809"/>
      <c r="W134" s="1809"/>
      <c r="X134" s="101"/>
      <c r="Y134" s="1809"/>
      <c r="Z134" s="1828"/>
    </row>
    <row r="135" spans="1:26" ht="40.5" customHeight="1">
      <c r="A135" s="1811"/>
      <c r="B135" s="1637">
        <v>53020020001</v>
      </c>
      <c r="C135" s="1819" t="s">
        <v>103</v>
      </c>
      <c r="D135" s="93" t="s">
        <v>4325</v>
      </c>
      <c r="E135" s="1809"/>
      <c r="F135" s="111">
        <f>K136+K140</f>
        <v>100</v>
      </c>
      <c r="G135" s="1809"/>
      <c r="H135" s="605">
        <f>+H136+H140</f>
        <v>0</v>
      </c>
      <c r="I135" s="1809"/>
      <c r="J135" s="1809"/>
      <c r="K135" s="128">
        <f>K136+K140</f>
        <v>100</v>
      </c>
      <c r="L135" s="1818"/>
      <c r="M135" s="128"/>
      <c r="N135" s="128"/>
      <c r="O135" s="128"/>
      <c r="P135" s="1633"/>
      <c r="Q135" s="1633"/>
      <c r="R135" s="1633"/>
      <c r="S135" s="1633"/>
      <c r="T135" s="1633"/>
      <c r="U135" s="655"/>
      <c r="V135" s="1809"/>
      <c r="W135" s="1809"/>
      <c r="X135" s="101"/>
      <c r="Y135" s="1809"/>
      <c r="Z135" s="1828"/>
    </row>
    <row r="136" spans="1:26" ht="16.5" customHeight="1">
      <c r="A136" s="2969">
        <v>4171</v>
      </c>
      <c r="B136" s="3298"/>
      <c r="C136" s="3300" t="s">
        <v>109</v>
      </c>
      <c r="D136" s="2852" t="s">
        <v>4326</v>
      </c>
      <c r="E136" s="128" t="s">
        <v>4327</v>
      </c>
      <c r="F136" s="111"/>
      <c r="G136" s="1809"/>
      <c r="H136" s="605">
        <f>+H137</f>
        <v>0</v>
      </c>
      <c r="I136" s="1809"/>
      <c r="J136" s="1809"/>
      <c r="K136" s="128">
        <f>+K138</f>
        <v>40</v>
      </c>
      <c r="L136" s="1443">
        <f>+L137+L138+L139</f>
        <v>1</v>
      </c>
      <c r="M136" s="605">
        <f>M138</f>
        <v>0</v>
      </c>
      <c r="N136" s="1822">
        <f>SUM(N137:N138)</f>
        <v>0.09</v>
      </c>
      <c r="O136" s="3302">
        <f>IF(Q136&gt;0,N136,"na")</f>
        <v>0.09</v>
      </c>
      <c r="P136" s="1816">
        <f t="shared" ref="P136:S136" si="106">SUM(P137:P139)</f>
        <v>500000000</v>
      </c>
      <c r="Q136" s="1816">
        <f t="shared" si="106"/>
        <v>523886602</v>
      </c>
      <c r="R136" s="1816">
        <f t="shared" si="106"/>
        <v>331706000</v>
      </c>
      <c r="S136" s="1816">
        <f t="shared" si="106"/>
        <v>150223000</v>
      </c>
      <c r="T136" s="1294">
        <f t="shared" ref="T136:U141" si="107">IF(Q136=0,0,R136/Q136)</f>
        <v>0.63316373950712335</v>
      </c>
      <c r="U136" s="1294">
        <f t="shared" si="107"/>
        <v>0.45287995996454694</v>
      </c>
      <c r="V136" s="1815"/>
      <c r="W136" s="1815"/>
      <c r="X136" s="101"/>
      <c r="Y136" s="2853" t="s">
        <v>4099</v>
      </c>
      <c r="Z136" s="1828"/>
    </row>
    <row r="137" spans="1:26" ht="94.5" customHeight="1">
      <c r="A137" s="3009"/>
      <c r="B137" s="3303"/>
      <c r="C137" s="3304"/>
      <c r="D137" s="3009"/>
      <c r="E137" s="128" t="s">
        <v>4328</v>
      </c>
      <c r="F137" s="3112"/>
      <c r="G137"/>
      <c r="H137" s="2995">
        <f>M138</f>
        <v>0</v>
      </c>
      <c r="I137" s="92" t="s">
        <v>4330</v>
      </c>
      <c r="J137" s="92" t="s">
        <v>4331</v>
      </c>
      <c r="K137" s="128">
        <v>40</v>
      </c>
      <c r="L137" s="1443">
        <v>0.35</v>
      </c>
      <c r="M137" s="1642">
        <v>0</v>
      </c>
      <c r="N137" s="1830">
        <v>0</v>
      </c>
      <c r="O137" s="3303"/>
      <c r="P137" s="1816">
        <v>62011600</v>
      </c>
      <c r="Q137" s="1816">
        <v>62011600</v>
      </c>
      <c r="R137" s="1816">
        <v>0</v>
      </c>
      <c r="S137" s="1816">
        <v>0</v>
      </c>
      <c r="T137" s="1821">
        <f t="shared" si="107"/>
        <v>0</v>
      </c>
      <c r="U137" s="1821">
        <f t="shared" si="107"/>
        <v>0</v>
      </c>
      <c r="V137" s="1153"/>
      <c r="W137" s="221"/>
      <c r="X137" s="101"/>
      <c r="Y137" s="3009"/>
      <c r="Z137" s="1828"/>
    </row>
    <row r="138" spans="1:26" ht="153">
      <c r="A138" s="3009"/>
      <c r="B138" s="3303"/>
      <c r="C138" s="3304"/>
      <c r="D138" s="3009"/>
      <c r="E138" s="128" t="s">
        <v>4332</v>
      </c>
      <c r="F138" s="3009"/>
      <c r="G138" s="92" t="s">
        <v>4329</v>
      </c>
      <c r="H138" s="3009"/>
      <c r="I138" s="92" t="s">
        <v>4333</v>
      </c>
      <c r="J138" s="92" t="s">
        <v>4334</v>
      </c>
      <c r="K138" s="128">
        <v>40</v>
      </c>
      <c r="L138" s="1443">
        <v>0.45</v>
      </c>
      <c r="M138" s="1642">
        <v>0</v>
      </c>
      <c r="N138" s="1830">
        <v>0.09</v>
      </c>
      <c r="O138" s="3303"/>
      <c r="P138" s="1831">
        <v>419988400</v>
      </c>
      <c r="Q138" s="1831">
        <v>443875002</v>
      </c>
      <c r="R138" s="1831">
        <v>331706000</v>
      </c>
      <c r="S138" s="1831">
        <v>150223000</v>
      </c>
      <c r="T138" s="1821">
        <f t="shared" si="107"/>
        <v>0.74729596959821587</v>
      </c>
      <c r="U138" s="1821">
        <f t="shared" si="107"/>
        <v>0.45287995996454694</v>
      </c>
      <c r="V138" s="1153">
        <v>45310</v>
      </c>
      <c r="W138" s="221">
        <v>45657</v>
      </c>
      <c r="X138" s="101" t="s">
        <v>5681</v>
      </c>
      <c r="Y138" s="3009"/>
      <c r="Z138" s="1828"/>
    </row>
    <row r="139" spans="1:26" ht="27">
      <c r="A139" s="3010"/>
      <c r="B139" s="3299"/>
      <c r="C139" s="3301"/>
      <c r="D139" s="3010"/>
      <c r="E139" s="128" t="s">
        <v>4335</v>
      </c>
      <c r="F139" s="3010"/>
      <c r="G139" s="1427"/>
      <c r="H139" s="3010"/>
      <c r="I139" s="92" t="s">
        <v>4336</v>
      </c>
      <c r="J139" s="92" t="s">
        <v>4122</v>
      </c>
      <c r="K139" s="128">
        <v>40</v>
      </c>
      <c r="L139" s="1443">
        <v>0.2</v>
      </c>
      <c r="M139" s="1642">
        <v>0</v>
      </c>
      <c r="N139" s="1830">
        <v>0</v>
      </c>
      <c r="O139" s="3299"/>
      <c r="P139" s="1831">
        <v>18000000</v>
      </c>
      <c r="Q139" s="1831">
        <v>18000000</v>
      </c>
      <c r="R139" s="1831">
        <v>0</v>
      </c>
      <c r="S139" s="1831">
        <v>0</v>
      </c>
      <c r="T139" s="1821">
        <f t="shared" si="107"/>
        <v>0</v>
      </c>
      <c r="U139" s="1821">
        <f t="shared" si="107"/>
        <v>0</v>
      </c>
      <c r="V139" s="1153"/>
      <c r="W139" s="221"/>
      <c r="X139" s="101"/>
      <c r="Y139" s="3010"/>
      <c r="Z139" s="1828"/>
    </row>
    <row r="140" spans="1:26">
      <c r="A140" s="2969">
        <v>4171</v>
      </c>
      <c r="B140" s="3305"/>
      <c r="C140" s="3306" t="s">
        <v>109</v>
      </c>
      <c r="D140" s="2852" t="s">
        <v>4337</v>
      </c>
      <c r="E140" s="128" t="s">
        <v>4338</v>
      </c>
      <c r="F140" s="111"/>
      <c r="G140" s="1809"/>
      <c r="H140" s="89">
        <f>+H141</f>
        <v>0</v>
      </c>
      <c r="I140" s="1809"/>
      <c r="J140" s="1809"/>
      <c r="K140" s="128">
        <f>K141</f>
        <v>60</v>
      </c>
      <c r="L140" s="1443">
        <f>+L141</f>
        <v>1</v>
      </c>
      <c r="M140" s="89">
        <f>M141</f>
        <v>0</v>
      </c>
      <c r="N140" s="1822">
        <f>SUM(N141:N142)</f>
        <v>0.05</v>
      </c>
      <c r="O140" s="3302">
        <f>IF(Q140&gt;0,N140,"na")</f>
        <v>0.05</v>
      </c>
      <c r="P140" s="1816">
        <f t="shared" ref="P140:Q140" si="108">SUM(P141)</f>
        <v>423822200</v>
      </c>
      <c r="Q140" s="1816">
        <f t="shared" si="108"/>
        <v>423822200</v>
      </c>
      <c r="R140" s="1816">
        <f t="shared" ref="R140:S140" si="109">SUM(R141:R142)</f>
        <v>423822200</v>
      </c>
      <c r="S140" s="1816">
        <f t="shared" si="109"/>
        <v>0</v>
      </c>
      <c r="T140" s="1294">
        <f t="shared" si="107"/>
        <v>1</v>
      </c>
      <c r="U140" s="1294">
        <f t="shared" si="107"/>
        <v>0</v>
      </c>
      <c r="V140" s="1815"/>
      <c r="W140" s="1815"/>
      <c r="X140" s="101"/>
      <c r="Y140" s="2853" t="s">
        <v>4099</v>
      </c>
      <c r="Z140" s="1828"/>
    </row>
    <row r="141" spans="1:26" s="45" customFormat="1" ht="67.5">
      <c r="A141" s="3010"/>
      <c r="B141" s="3299"/>
      <c r="C141" s="3301"/>
      <c r="D141" s="3010"/>
      <c r="E141" s="128" t="s">
        <v>4339</v>
      </c>
      <c r="F141" s="111"/>
      <c r="G141" s="128" t="s">
        <v>4126</v>
      </c>
      <c r="H141" s="89">
        <f>M141</f>
        <v>0</v>
      </c>
      <c r="I141" s="92" t="s">
        <v>4340</v>
      </c>
      <c r="J141" s="92" t="s">
        <v>4122</v>
      </c>
      <c r="K141" s="128">
        <v>60</v>
      </c>
      <c r="L141" s="1443">
        <v>1</v>
      </c>
      <c r="M141" s="1829">
        <v>0</v>
      </c>
      <c r="N141" s="1822">
        <v>0.05</v>
      </c>
      <c r="O141" s="3299"/>
      <c r="P141" s="1831">
        <v>423822200</v>
      </c>
      <c r="Q141" s="1831">
        <v>423822200</v>
      </c>
      <c r="R141" s="1831">
        <v>423822200</v>
      </c>
      <c r="S141" s="1831">
        <v>0</v>
      </c>
      <c r="T141" s="1821">
        <f t="shared" si="107"/>
        <v>1</v>
      </c>
      <c r="U141" s="1821">
        <f t="shared" si="107"/>
        <v>0</v>
      </c>
      <c r="V141" s="1153">
        <v>45448</v>
      </c>
      <c r="W141" s="1153">
        <v>45626</v>
      </c>
      <c r="X141" s="101" t="s">
        <v>5682</v>
      </c>
      <c r="Y141" s="3010"/>
      <c r="Z141" s="1828"/>
    </row>
    <row r="142" spans="1:26" ht="16.5" customHeight="1">
      <c r="A142" s="1811"/>
      <c r="B142" s="1813">
        <v>54</v>
      </c>
      <c r="C142" s="1824" t="s">
        <v>100</v>
      </c>
      <c r="D142" s="85" t="s">
        <v>108</v>
      </c>
      <c r="E142" s="1809"/>
      <c r="F142" s="111"/>
      <c r="G142" s="1809"/>
      <c r="H142" s="1809"/>
      <c r="I142" s="1809"/>
      <c r="J142" s="1809"/>
      <c r="K142" s="1809"/>
      <c r="L142" s="1818"/>
      <c r="M142" s="128"/>
      <c r="N142" s="128"/>
      <c r="O142" s="128"/>
      <c r="P142" s="1633"/>
      <c r="Q142" s="1633"/>
      <c r="R142" s="1633"/>
      <c r="S142" s="1633"/>
      <c r="T142" s="1633"/>
      <c r="U142" s="655"/>
      <c r="V142" s="1809"/>
      <c r="W142" s="1809"/>
      <c r="X142" s="101"/>
      <c r="Y142" s="1809"/>
      <c r="Z142" s="1828"/>
    </row>
    <row r="143" spans="1:26" ht="148.5" customHeight="1">
      <c r="A143" s="1811"/>
      <c r="B143" s="1813">
        <v>5402</v>
      </c>
      <c r="C143" s="1824" t="s">
        <v>101</v>
      </c>
      <c r="D143" s="85" t="s">
        <v>104</v>
      </c>
      <c r="E143" s="1809"/>
      <c r="F143" s="111"/>
      <c r="G143" s="1809"/>
      <c r="H143" s="1809"/>
      <c r="I143" s="1809"/>
      <c r="J143" s="1809"/>
      <c r="K143" s="1809"/>
      <c r="L143" s="1818"/>
      <c r="M143" s="128"/>
      <c r="N143" s="128"/>
      <c r="O143" s="128"/>
      <c r="P143" s="1633"/>
      <c r="Q143" s="1633"/>
      <c r="R143" s="1633"/>
      <c r="S143" s="1633"/>
      <c r="T143" s="1633"/>
      <c r="U143" s="655"/>
      <c r="V143" s="1809"/>
      <c r="W143" s="1809"/>
      <c r="X143" s="101"/>
      <c r="Y143" s="1809"/>
      <c r="Z143" s="1828"/>
    </row>
    <row r="144" spans="1:26">
      <c r="A144" s="1811"/>
      <c r="B144" s="1813">
        <v>5402001</v>
      </c>
      <c r="C144" s="1814" t="s">
        <v>102</v>
      </c>
      <c r="D144" s="93" t="s">
        <v>105</v>
      </c>
      <c r="E144" s="1809"/>
      <c r="F144" s="111"/>
      <c r="G144" s="1809"/>
      <c r="H144" s="1809"/>
      <c r="I144" s="1809"/>
      <c r="J144" s="1809"/>
      <c r="K144" s="1809"/>
      <c r="L144" s="1818"/>
      <c r="M144" s="128"/>
      <c r="N144" s="128"/>
      <c r="O144" s="128"/>
      <c r="P144" s="1633"/>
      <c r="Q144" s="1633"/>
      <c r="R144" s="1633"/>
      <c r="S144" s="1633"/>
      <c r="T144" s="1633"/>
      <c r="U144" s="655"/>
      <c r="V144" s="1809"/>
      <c r="W144" s="1809"/>
      <c r="X144" s="101"/>
      <c r="Y144" s="1809"/>
      <c r="Z144" s="1828"/>
    </row>
    <row r="145" spans="1:26" ht="33" customHeight="1">
      <c r="A145" s="1811"/>
      <c r="B145" s="1813">
        <v>54020010026</v>
      </c>
      <c r="C145" s="1814" t="s">
        <v>103</v>
      </c>
      <c r="D145" s="93" t="s">
        <v>4341</v>
      </c>
      <c r="E145" s="1809"/>
      <c r="F145" s="111">
        <f>K146</f>
        <v>1</v>
      </c>
      <c r="G145" s="1809"/>
      <c r="H145" s="128">
        <f t="shared" ref="H145:H146" si="110">+H146</f>
        <v>0</v>
      </c>
      <c r="I145" s="1809"/>
      <c r="J145" s="1809"/>
      <c r="K145" s="128">
        <f t="shared" ref="K145:K146" si="111">+K146</f>
        <v>1</v>
      </c>
      <c r="L145" s="1818"/>
      <c r="M145" s="128"/>
      <c r="N145" s="128"/>
      <c r="O145" s="128"/>
      <c r="P145" s="1633"/>
      <c r="Q145" s="1633"/>
      <c r="R145" s="1633"/>
      <c r="S145" s="1633"/>
      <c r="T145" s="1633"/>
      <c r="U145" s="655"/>
      <c r="V145" s="1809"/>
      <c r="W145" s="1809"/>
      <c r="X145" s="101"/>
      <c r="Y145" s="1809"/>
      <c r="Z145" s="1828"/>
    </row>
    <row r="146" spans="1:26" s="45" customFormat="1" ht="25.5" customHeight="1">
      <c r="A146" s="2969">
        <v>4171</v>
      </c>
      <c r="B146" s="3298"/>
      <c r="C146" s="3300" t="s">
        <v>109</v>
      </c>
      <c r="D146" s="2852" t="s">
        <v>4342</v>
      </c>
      <c r="E146" s="128" t="s">
        <v>4343</v>
      </c>
      <c r="F146" s="111"/>
      <c r="G146" s="1809"/>
      <c r="H146" s="128">
        <f t="shared" si="110"/>
        <v>0</v>
      </c>
      <c r="I146" s="1809"/>
      <c r="J146" s="1809"/>
      <c r="K146" s="128">
        <f t="shared" si="111"/>
        <v>1</v>
      </c>
      <c r="L146" s="1443">
        <f>+L147+L148</f>
        <v>1</v>
      </c>
      <c r="M146" s="128">
        <f>M147</f>
        <v>0</v>
      </c>
      <c r="N146" s="1781">
        <f>SUM(N147:N148)</f>
        <v>0.5</v>
      </c>
      <c r="O146" s="3307">
        <f>IF(Q146&gt;0,N146,"na")</f>
        <v>0.5</v>
      </c>
      <c r="P146" s="97">
        <f t="shared" ref="P146:S146" si="112">SUM(P147:P148)</f>
        <v>2574462000</v>
      </c>
      <c r="Q146" s="97">
        <f t="shared" si="112"/>
        <v>2797676388</v>
      </c>
      <c r="R146" s="97">
        <f t="shared" si="112"/>
        <v>2266035500</v>
      </c>
      <c r="S146" s="97">
        <f t="shared" si="112"/>
        <v>1195714000</v>
      </c>
      <c r="T146" s="134">
        <f t="shared" ref="T146:U148" si="113">IF(Q146=0,0,R146/Q146)</f>
        <v>0.80997055617999514</v>
      </c>
      <c r="U146" s="1294">
        <f t="shared" si="113"/>
        <v>0.52766781455983369</v>
      </c>
      <c r="V146" s="1815"/>
      <c r="W146" s="1815"/>
      <c r="X146" s="101"/>
      <c r="Y146" s="2853" t="s">
        <v>4300</v>
      </c>
      <c r="Z146" s="1828"/>
    </row>
    <row r="147" spans="1:26" ht="16.5" customHeight="1">
      <c r="A147" s="3009"/>
      <c r="B147" s="3303"/>
      <c r="C147" s="3304"/>
      <c r="D147" s="3009"/>
      <c r="E147" s="128" t="s">
        <v>4344</v>
      </c>
      <c r="F147" s="111"/>
      <c r="G147" s="2852" t="s">
        <v>4345</v>
      </c>
      <c r="H147" s="2853">
        <f>M147</f>
        <v>0</v>
      </c>
      <c r="I147" s="92" t="s">
        <v>4346</v>
      </c>
      <c r="J147" s="92" t="s">
        <v>2428</v>
      </c>
      <c r="K147" s="128">
        <v>1</v>
      </c>
      <c r="L147" s="1443">
        <v>0.8</v>
      </c>
      <c r="M147" s="128">
        <v>0</v>
      </c>
      <c r="N147" s="1781">
        <v>0.4</v>
      </c>
      <c r="O147" s="3009"/>
      <c r="P147" s="97">
        <v>2403007200</v>
      </c>
      <c r="Q147" s="97">
        <v>2529596388</v>
      </c>
      <c r="R147" s="97">
        <v>2114073500</v>
      </c>
      <c r="S147" s="97">
        <v>1154900000</v>
      </c>
      <c r="T147" s="1827">
        <f t="shared" si="113"/>
        <v>0.83573549916058787</v>
      </c>
      <c r="U147" s="1821">
        <f t="shared" si="113"/>
        <v>0.54629131863201541</v>
      </c>
      <c r="V147" s="1153">
        <v>45310</v>
      </c>
      <c r="W147" s="221">
        <v>45657</v>
      </c>
      <c r="X147" s="101" t="s">
        <v>5683</v>
      </c>
      <c r="Y147" s="3009"/>
      <c r="Z147" s="1828"/>
    </row>
    <row r="148" spans="1:26" ht="204">
      <c r="A148" s="3010"/>
      <c r="B148" s="3299"/>
      <c r="C148" s="3301"/>
      <c r="D148" s="3010"/>
      <c r="E148" s="128" t="s">
        <v>4347</v>
      </c>
      <c r="F148" s="111"/>
      <c r="G148" s="3010"/>
      <c r="H148" s="3010"/>
      <c r="I148" s="92" t="s">
        <v>4348</v>
      </c>
      <c r="J148" s="92" t="s">
        <v>1163</v>
      </c>
      <c r="K148" s="128">
        <v>1</v>
      </c>
      <c r="L148" s="1443">
        <v>0.2</v>
      </c>
      <c r="M148" s="128">
        <v>0</v>
      </c>
      <c r="N148" s="1781">
        <v>0.1</v>
      </c>
      <c r="O148" s="3010"/>
      <c r="P148" s="97">
        <v>171454800</v>
      </c>
      <c r="Q148" s="97">
        <v>268080000</v>
      </c>
      <c r="R148" s="97">
        <v>151962000</v>
      </c>
      <c r="S148" s="97">
        <v>40814000</v>
      </c>
      <c r="T148" s="1827">
        <f t="shared" si="113"/>
        <v>0.56685317815577441</v>
      </c>
      <c r="U148" s="1821">
        <f t="shared" si="113"/>
        <v>0.26858030297047947</v>
      </c>
      <c r="V148" s="1153">
        <v>45310</v>
      </c>
      <c r="W148" s="221">
        <v>45657</v>
      </c>
      <c r="X148" s="101" t="s">
        <v>5684</v>
      </c>
      <c r="Y148" s="3010"/>
      <c r="Z148" s="1828"/>
    </row>
    <row r="149" spans="1:26" ht="94.5" customHeight="1">
      <c r="A149" s="1811"/>
      <c r="B149" s="1813">
        <v>5402002</v>
      </c>
      <c r="C149" s="1814" t="s">
        <v>102</v>
      </c>
      <c r="D149" s="93" t="s">
        <v>527</v>
      </c>
      <c r="E149" s="1809"/>
      <c r="F149" s="111"/>
      <c r="G149" s="1809"/>
      <c r="H149" s="1809"/>
      <c r="I149" s="1809"/>
      <c r="J149" s="1809"/>
      <c r="K149" s="1809"/>
      <c r="L149" s="1818"/>
      <c r="M149" s="128"/>
      <c r="N149" s="128"/>
      <c r="O149" s="128"/>
      <c r="P149" s="1633"/>
      <c r="Q149" s="1633"/>
      <c r="R149" s="1633"/>
      <c r="S149" s="1633"/>
      <c r="T149" s="1633"/>
      <c r="U149" s="655"/>
      <c r="V149" s="1809"/>
      <c r="W149" s="1809"/>
      <c r="X149" s="101"/>
      <c r="Y149" s="1809"/>
      <c r="Z149" s="1828"/>
    </row>
    <row r="150" spans="1:26" ht="66">
      <c r="A150" s="1811"/>
      <c r="B150" s="1813">
        <v>54020020014</v>
      </c>
      <c r="C150" s="1814" t="s">
        <v>103</v>
      </c>
      <c r="D150" s="93" t="s">
        <v>4349</v>
      </c>
      <c r="E150" s="1809"/>
      <c r="F150" s="111">
        <f>K151</f>
        <v>2</v>
      </c>
      <c r="G150" s="1809"/>
      <c r="H150" s="128">
        <f t="shared" ref="H150:H151" si="114">+H151</f>
        <v>0</v>
      </c>
      <c r="I150" s="1809"/>
      <c r="J150" s="1809"/>
      <c r="K150" s="128"/>
      <c r="L150" s="1818"/>
      <c r="M150" s="128"/>
      <c r="N150" s="128"/>
      <c r="O150" s="128"/>
      <c r="P150" s="1633"/>
      <c r="Q150" s="1633"/>
      <c r="R150" s="1633"/>
      <c r="S150" s="1633"/>
      <c r="T150" s="1633"/>
      <c r="U150" s="655"/>
      <c r="V150" s="1809"/>
      <c r="W150" s="1809"/>
      <c r="X150" s="101"/>
      <c r="Y150" s="1809"/>
      <c r="Z150" s="1828"/>
    </row>
    <row r="151" spans="1:26" s="45" customFormat="1">
      <c r="A151" s="2969">
        <v>4171</v>
      </c>
      <c r="B151" s="3298"/>
      <c r="C151" s="3300" t="s">
        <v>109</v>
      </c>
      <c r="D151" s="2852" t="s">
        <v>4350</v>
      </c>
      <c r="E151" s="128" t="s">
        <v>4351</v>
      </c>
      <c r="F151" s="111"/>
      <c r="G151" s="1809"/>
      <c r="H151" s="128">
        <f t="shared" si="114"/>
        <v>0</v>
      </c>
      <c r="I151" s="1809"/>
      <c r="J151" s="1809"/>
      <c r="K151" s="128">
        <f>K152</f>
        <v>2</v>
      </c>
      <c r="L151" s="1443">
        <f>+L152+L153</f>
        <v>1</v>
      </c>
      <c r="M151" s="128">
        <f>M152</f>
        <v>0</v>
      </c>
      <c r="N151" s="1781">
        <f>SUM(N152:N153)</f>
        <v>0.29000000000000004</v>
      </c>
      <c r="O151" s="3307">
        <f>IF(Q151&gt;0,N151,"na")</f>
        <v>0.29000000000000004</v>
      </c>
      <c r="P151" s="97">
        <f t="shared" ref="P151:S151" si="115">SUM(P152:P153)</f>
        <v>447125200</v>
      </c>
      <c r="Q151" s="97">
        <f t="shared" si="115"/>
        <v>1047125200</v>
      </c>
      <c r="R151" s="97">
        <f t="shared" si="115"/>
        <v>395340494</v>
      </c>
      <c r="S151" s="97">
        <f t="shared" si="115"/>
        <v>168832498</v>
      </c>
      <c r="T151" s="134">
        <f t="shared" ref="T151:U154" si="116">IF(Q151=0,0,R151/Q151)</f>
        <v>0.37754844788378694</v>
      </c>
      <c r="U151" s="1294">
        <f t="shared" si="116"/>
        <v>0.42705591904278845</v>
      </c>
      <c r="V151" s="1815"/>
      <c r="W151" s="1815"/>
      <c r="X151" s="101"/>
      <c r="Y151" s="2853" t="s">
        <v>4300</v>
      </c>
      <c r="Z151" s="1828"/>
    </row>
    <row r="152" spans="1:26" s="45" customFormat="1" ht="127.5">
      <c r="A152" s="3009"/>
      <c r="B152" s="3303"/>
      <c r="C152" s="3304"/>
      <c r="D152" s="3009"/>
      <c r="E152" s="128" t="s">
        <v>4352</v>
      </c>
      <c r="F152" s="111"/>
      <c r="G152" s="2852" t="s">
        <v>4353</v>
      </c>
      <c r="H152" s="2853">
        <f>M152</f>
        <v>0</v>
      </c>
      <c r="I152" s="92" t="s">
        <v>4354</v>
      </c>
      <c r="J152" s="92" t="s">
        <v>124</v>
      </c>
      <c r="K152" s="128">
        <v>2</v>
      </c>
      <c r="L152" s="1443">
        <v>0.6</v>
      </c>
      <c r="M152" s="128">
        <v>0</v>
      </c>
      <c r="N152" s="1781">
        <v>0.17</v>
      </c>
      <c r="O152" s="3009"/>
      <c r="P152" s="97">
        <v>231608800</v>
      </c>
      <c r="Q152" s="97">
        <v>831608800</v>
      </c>
      <c r="R152" s="97">
        <v>216160500</v>
      </c>
      <c r="S152" s="97">
        <v>95156500</v>
      </c>
      <c r="T152" s="1827">
        <f t="shared" si="116"/>
        <v>0.25993051059584749</v>
      </c>
      <c r="U152" s="1821">
        <f t="shared" si="116"/>
        <v>0.44021224969409306</v>
      </c>
      <c r="V152" s="1153">
        <v>45310</v>
      </c>
      <c r="W152" s="221">
        <v>45657</v>
      </c>
      <c r="X152" s="101" t="s">
        <v>5685</v>
      </c>
      <c r="Y152" s="3009"/>
      <c r="Z152" s="1828"/>
    </row>
    <row r="153" spans="1:26" ht="102">
      <c r="A153" s="3010"/>
      <c r="B153" s="3299"/>
      <c r="C153" s="3301"/>
      <c r="D153" s="3010"/>
      <c r="E153" s="128" t="s">
        <v>4355</v>
      </c>
      <c r="F153" s="111"/>
      <c r="G153" s="3010"/>
      <c r="H153" s="3010"/>
      <c r="I153" s="92" t="s">
        <v>4356</v>
      </c>
      <c r="J153" s="92" t="s">
        <v>193</v>
      </c>
      <c r="K153" s="128">
        <v>2</v>
      </c>
      <c r="L153" s="1443">
        <v>0.4</v>
      </c>
      <c r="M153" s="128">
        <v>0</v>
      </c>
      <c r="N153" s="1781">
        <v>0.12</v>
      </c>
      <c r="O153" s="3010"/>
      <c r="P153" s="97">
        <v>215516400</v>
      </c>
      <c r="Q153" s="97">
        <v>215516400</v>
      </c>
      <c r="R153" s="97">
        <v>179179994</v>
      </c>
      <c r="S153" s="97">
        <v>73675998</v>
      </c>
      <c r="T153" s="1827">
        <f t="shared" si="116"/>
        <v>0.8313984179394236</v>
      </c>
      <c r="U153" s="1821">
        <f t="shared" si="116"/>
        <v>0.4111842865671711</v>
      </c>
      <c r="V153" s="1153">
        <v>45310</v>
      </c>
      <c r="W153" s="221">
        <v>45657</v>
      </c>
      <c r="X153" s="101" t="s">
        <v>5686</v>
      </c>
      <c r="Y153" s="3010"/>
      <c r="Z153" s="93"/>
    </row>
    <row r="154" spans="1:26">
      <c r="A154" s="1832"/>
      <c r="B154" s="128" t="s">
        <v>36</v>
      </c>
      <c r="C154" s="1833">
        <f>COUNTIF(C7:C153,"pr")</f>
        <v>42</v>
      </c>
      <c r="D154" s="1834"/>
      <c r="E154" s="128" t="s">
        <v>112</v>
      </c>
      <c r="F154" s="128"/>
      <c r="G154" s="1417">
        <f>COUNTIF(O7:O153,"na")</f>
        <v>0</v>
      </c>
      <c r="H154" s="1834"/>
      <c r="I154" s="1834"/>
      <c r="J154" s="1834"/>
      <c r="K154" s="1834"/>
      <c r="L154"/>
      <c r="M154" s="106"/>
      <c r="N154" s="128" t="s">
        <v>4357</v>
      </c>
      <c r="O154" s="1781">
        <f>AVERAGE(O7:O153)</f>
        <v>8.8071428571428551E-2</v>
      </c>
      <c r="P154" s="1835">
        <f t="shared" ref="P154:S154" si="117">SUM(P11,P17,P20,P23,P26,P32,P38,P43,P46,P49,P54,P59,P65,P68,P70,P72,P74,P76,P80,P82,P84,P86,P88,P90,P92,P94,P96,P98,P100,P102,P105,P108,P113,P117,P121,P126,P130,P136,P140,P146,P151,P78)</f>
        <v>37598070086</v>
      </c>
      <c r="Q154" s="1835">
        <f t="shared" si="117"/>
        <v>56189614121</v>
      </c>
      <c r="R154" s="1835">
        <f t="shared" si="117"/>
        <v>26702728801</v>
      </c>
      <c r="S154" s="1835">
        <f t="shared" si="117"/>
        <v>3327025201</v>
      </c>
      <c r="T154" s="1459">
        <f t="shared" si="116"/>
        <v>0.47522534579963005</v>
      </c>
      <c r="U154" s="1459">
        <f t="shared" si="116"/>
        <v>0.12459495154200888</v>
      </c>
      <c r="V154" s="109"/>
      <c r="W154" s="109"/>
      <c r="X154" s="109"/>
      <c r="Y154" s="109"/>
      <c r="Z154" s="55"/>
    </row>
    <row r="155" spans="1:26" ht="27">
      <c r="A155" s="1836"/>
      <c r="B155" s="106"/>
      <c r="C155" s="106"/>
      <c r="D155" s="106"/>
      <c r="E155" s="106"/>
      <c r="F155" s="106"/>
      <c r="G155" s="1834"/>
      <c r="H155" s="1834"/>
      <c r="I155" s="1834"/>
      <c r="J155" s="1834"/>
      <c r="K155" s="1834"/>
      <c r="L155"/>
      <c r="M155" s="106"/>
      <c r="N155" s="1633" t="s">
        <v>4358</v>
      </c>
      <c r="O155" s="128">
        <f>COUNTIF(O7:O153,"=0%")</f>
        <v>14</v>
      </c>
      <c r="P155" s="1835">
        <v>37598070086</v>
      </c>
      <c r="Q155" s="1835">
        <v>56189614121</v>
      </c>
      <c r="R155" s="1835">
        <v>26702728801</v>
      </c>
      <c r="S155" s="1835">
        <v>3327025201</v>
      </c>
      <c r="T155" s="106"/>
      <c r="U155" s="106"/>
      <c r="V155" s="109"/>
      <c r="W155" s="109"/>
      <c r="X155" s="109"/>
      <c r="Y155" s="109"/>
      <c r="Z155" s="55"/>
    </row>
  </sheetData>
  <autoFilter ref="A5:Y149" xr:uid="{00000000-0009-0000-0000-000017000000}"/>
  <mergeCells count="312">
    <mergeCell ref="O146:O148"/>
    <mergeCell ref="Y146:Y148"/>
    <mergeCell ref="G147:G148"/>
    <mergeCell ref="H147:H148"/>
    <mergeCell ref="A140:A141"/>
    <mergeCell ref="B140:B141"/>
    <mergeCell ref="A136:A139"/>
    <mergeCell ref="B136:B139"/>
    <mergeCell ref="C136:C139"/>
    <mergeCell ref="D136:D139"/>
    <mergeCell ref="O136:O139"/>
    <mergeCell ref="Y136:Y139"/>
    <mergeCell ref="F137:F139"/>
    <mergeCell ref="H137:H139"/>
    <mergeCell ref="A151:A153"/>
    <mergeCell ref="B151:B153"/>
    <mergeCell ref="C151:C153"/>
    <mergeCell ref="D151:D153"/>
    <mergeCell ref="O151:O153"/>
    <mergeCell ref="Y151:Y153"/>
    <mergeCell ref="G152:G153"/>
    <mergeCell ref="H152:H153"/>
    <mergeCell ref="C140:C141"/>
    <mergeCell ref="D140:D141"/>
    <mergeCell ref="O140:O141"/>
    <mergeCell ref="Y140:Y141"/>
    <mergeCell ref="A146:A148"/>
    <mergeCell ref="B146:B148"/>
    <mergeCell ref="C146:C148"/>
    <mergeCell ref="D146:D148"/>
    <mergeCell ref="A108:A109"/>
    <mergeCell ref="B108:B109"/>
    <mergeCell ref="C108:C109"/>
    <mergeCell ref="D108:D109"/>
    <mergeCell ref="O108:O109"/>
    <mergeCell ref="Y108:Y109"/>
    <mergeCell ref="C130:C131"/>
    <mergeCell ref="D130:D131"/>
    <mergeCell ref="O130:O131"/>
    <mergeCell ref="Y130:Y131"/>
    <mergeCell ref="A65:A67"/>
    <mergeCell ref="B65:B67"/>
    <mergeCell ref="C65:C67"/>
    <mergeCell ref="D65:D67"/>
    <mergeCell ref="O65:O67"/>
    <mergeCell ref="Y65:Y67"/>
    <mergeCell ref="A105:A106"/>
    <mergeCell ref="B105:B106"/>
    <mergeCell ref="C105:C106"/>
    <mergeCell ref="D105:D106"/>
    <mergeCell ref="O105:O106"/>
    <mergeCell ref="Y105:Y106"/>
    <mergeCell ref="H118:H119"/>
    <mergeCell ref="A126:A128"/>
    <mergeCell ref="B126:B128"/>
    <mergeCell ref="C126:C128"/>
    <mergeCell ref="D126:D128"/>
    <mergeCell ref="O126:O128"/>
    <mergeCell ref="Y126:Y128"/>
    <mergeCell ref="F127:F128"/>
    <mergeCell ref="A130:A131"/>
    <mergeCell ref="B130:B131"/>
    <mergeCell ref="A121:A123"/>
    <mergeCell ref="B121:B123"/>
    <mergeCell ref="C121:C123"/>
    <mergeCell ref="D121:D123"/>
    <mergeCell ref="O121:O123"/>
    <mergeCell ref="Y121:Y123"/>
    <mergeCell ref="F122:F123"/>
    <mergeCell ref="A113:A115"/>
    <mergeCell ref="B113:B115"/>
    <mergeCell ref="C113:C115"/>
    <mergeCell ref="D113:D115"/>
    <mergeCell ref="O113:O115"/>
    <mergeCell ref="Y113:Y115"/>
    <mergeCell ref="F114:F115"/>
    <mergeCell ref="G114:G115"/>
    <mergeCell ref="H114:H115"/>
    <mergeCell ref="Y117:Y119"/>
    <mergeCell ref="F118:F119"/>
    <mergeCell ref="A117:A119"/>
    <mergeCell ref="B117:B119"/>
    <mergeCell ref="C117:C119"/>
    <mergeCell ref="D117:D119"/>
    <mergeCell ref="O117:O119"/>
    <mergeCell ref="G118:G119"/>
    <mergeCell ref="A100:A101"/>
    <mergeCell ref="B100:B101"/>
    <mergeCell ref="C100:C101"/>
    <mergeCell ref="D100:D101"/>
    <mergeCell ref="O100:O101"/>
    <mergeCell ref="Y100:Y101"/>
    <mergeCell ref="A102:A103"/>
    <mergeCell ref="B102:B103"/>
    <mergeCell ref="C102:C103"/>
    <mergeCell ref="D102:D103"/>
    <mergeCell ref="O102:O103"/>
    <mergeCell ref="Y102:Y103"/>
    <mergeCell ref="Y96:Y97"/>
    <mergeCell ref="A98:A99"/>
    <mergeCell ref="B98:B99"/>
    <mergeCell ref="C98:C99"/>
    <mergeCell ref="D98:D99"/>
    <mergeCell ref="O98:O99"/>
    <mergeCell ref="Y98:Y99"/>
    <mergeCell ref="A96:A97"/>
    <mergeCell ref="B96:B97"/>
    <mergeCell ref="C96:C97"/>
    <mergeCell ref="D96:D97"/>
    <mergeCell ref="O96:O97"/>
    <mergeCell ref="Y92:Y93"/>
    <mergeCell ref="A94:A95"/>
    <mergeCell ref="B94:B95"/>
    <mergeCell ref="C94:C95"/>
    <mergeCell ref="D94:D95"/>
    <mergeCell ref="O94:O95"/>
    <mergeCell ref="Y94:Y95"/>
    <mergeCell ref="A92:A93"/>
    <mergeCell ref="B92:B93"/>
    <mergeCell ref="C92:C93"/>
    <mergeCell ref="D92:D93"/>
    <mergeCell ref="O92:O93"/>
    <mergeCell ref="Y88:Y89"/>
    <mergeCell ref="A90:A91"/>
    <mergeCell ref="B90:B91"/>
    <mergeCell ref="C90:C91"/>
    <mergeCell ref="D90:D91"/>
    <mergeCell ref="O90:O91"/>
    <mergeCell ref="Y90:Y91"/>
    <mergeCell ref="A88:A89"/>
    <mergeCell ref="B88:B89"/>
    <mergeCell ref="C88:C89"/>
    <mergeCell ref="D88:D89"/>
    <mergeCell ref="O88:O89"/>
    <mergeCell ref="Y84:Y85"/>
    <mergeCell ref="A86:A87"/>
    <mergeCell ref="B86:B87"/>
    <mergeCell ref="C86:C87"/>
    <mergeCell ref="D86:D87"/>
    <mergeCell ref="O86:O87"/>
    <mergeCell ref="Y86:Y87"/>
    <mergeCell ref="A84:A85"/>
    <mergeCell ref="B84:B85"/>
    <mergeCell ref="C84:C85"/>
    <mergeCell ref="D84:D85"/>
    <mergeCell ref="O84:O85"/>
    <mergeCell ref="Y80:Y81"/>
    <mergeCell ref="A82:A83"/>
    <mergeCell ref="B82:B83"/>
    <mergeCell ref="C82:C83"/>
    <mergeCell ref="D82:D83"/>
    <mergeCell ref="O82:O83"/>
    <mergeCell ref="Y82:Y83"/>
    <mergeCell ref="A80:A81"/>
    <mergeCell ref="B80:B81"/>
    <mergeCell ref="C80:C81"/>
    <mergeCell ref="D80:D81"/>
    <mergeCell ref="O80:O81"/>
    <mergeCell ref="Y76:Y77"/>
    <mergeCell ref="A78:A79"/>
    <mergeCell ref="B78:B79"/>
    <mergeCell ref="C78:C79"/>
    <mergeCell ref="D78:D79"/>
    <mergeCell ref="O78:O79"/>
    <mergeCell ref="Y78:Y79"/>
    <mergeCell ref="A76:A77"/>
    <mergeCell ref="B76:B77"/>
    <mergeCell ref="C76:C77"/>
    <mergeCell ref="D76:D77"/>
    <mergeCell ref="O76:O77"/>
    <mergeCell ref="Y72:Y73"/>
    <mergeCell ref="A74:A75"/>
    <mergeCell ref="B74:B75"/>
    <mergeCell ref="C74:C75"/>
    <mergeCell ref="D74:D75"/>
    <mergeCell ref="O74:O75"/>
    <mergeCell ref="Y74:Y75"/>
    <mergeCell ref="A72:A73"/>
    <mergeCell ref="B72:B73"/>
    <mergeCell ref="C72:C73"/>
    <mergeCell ref="D72:D73"/>
    <mergeCell ref="O72:O73"/>
    <mergeCell ref="Y68:Y69"/>
    <mergeCell ref="A70:A71"/>
    <mergeCell ref="B70:B71"/>
    <mergeCell ref="C70:C71"/>
    <mergeCell ref="D70:D71"/>
    <mergeCell ref="O70:O71"/>
    <mergeCell ref="Y70:Y71"/>
    <mergeCell ref="A68:A69"/>
    <mergeCell ref="B68:B69"/>
    <mergeCell ref="C68:C69"/>
    <mergeCell ref="D68:D69"/>
    <mergeCell ref="O68:O69"/>
    <mergeCell ref="A54:A57"/>
    <mergeCell ref="B54:B57"/>
    <mergeCell ref="C54:C57"/>
    <mergeCell ref="D54:D57"/>
    <mergeCell ref="O54:O57"/>
    <mergeCell ref="Y54:Y57"/>
    <mergeCell ref="F55:F57"/>
    <mergeCell ref="A59:A62"/>
    <mergeCell ref="B59:B62"/>
    <mergeCell ref="C59:C62"/>
    <mergeCell ref="D59:D62"/>
    <mergeCell ref="O59:O62"/>
    <mergeCell ref="Y59:Y62"/>
    <mergeCell ref="F60:F62"/>
    <mergeCell ref="Y46:Y48"/>
    <mergeCell ref="F47:F48"/>
    <mergeCell ref="A46:A48"/>
    <mergeCell ref="B46:B48"/>
    <mergeCell ref="C46:C48"/>
    <mergeCell ref="D46:D48"/>
    <mergeCell ref="O46:O48"/>
    <mergeCell ref="A49:A52"/>
    <mergeCell ref="B49:B52"/>
    <mergeCell ref="C49:C52"/>
    <mergeCell ref="D49:D52"/>
    <mergeCell ref="O49:O52"/>
    <mergeCell ref="Y49:Y52"/>
    <mergeCell ref="Y38:Y39"/>
    <mergeCell ref="A43:A45"/>
    <mergeCell ref="B43:B45"/>
    <mergeCell ref="C43:C45"/>
    <mergeCell ref="D43:D45"/>
    <mergeCell ref="O43:O45"/>
    <mergeCell ref="Y43:Y45"/>
    <mergeCell ref="F44:F45"/>
    <mergeCell ref="A38:A39"/>
    <mergeCell ref="B38:B39"/>
    <mergeCell ref="C38:C39"/>
    <mergeCell ref="D38:D39"/>
    <mergeCell ref="O38:O39"/>
    <mergeCell ref="Y26:Y29"/>
    <mergeCell ref="F27:F29"/>
    <mergeCell ref="G27:G29"/>
    <mergeCell ref="H27:H29"/>
    <mergeCell ref="A32:A34"/>
    <mergeCell ref="B32:B34"/>
    <mergeCell ref="C32:C34"/>
    <mergeCell ref="D32:D34"/>
    <mergeCell ref="O32:O34"/>
    <mergeCell ref="Y32:Y34"/>
    <mergeCell ref="F33:F34"/>
    <mergeCell ref="G33:G34"/>
    <mergeCell ref="A26:A29"/>
    <mergeCell ref="B26:B29"/>
    <mergeCell ref="C26:C29"/>
    <mergeCell ref="D26:D29"/>
    <mergeCell ref="O26:O29"/>
    <mergeCell ref="Y20:Y22"/>
    <mergeCell ref="F21:F22"/>
    <mergeCell ref="G21:G22"/>
    <mergeCell ref="A23:A24"/>
    <mergeCell ref="B23:B24"/>
    <mergeCell ref="C23:C24"/>
    <mergeCell ref="D23:D24"/>
    <mergeCell ref="O23:O24"/>
    <mergeCell ref="Y23:Y24"/>
    <mergeCell ref="A20:A22"/>
    <mergeCell ref="B20:B22"/>
    <mergeCell ref="C20:C22"/>
    <mergeCell ref="D20:D22"/>
    <mergeCell ref="O20:O22"/>
    <mergeCell ref="F12:F13"/>
    <mergeCell ref="G12:G13"/>
    <mergeCell ref="H12:H13"/>
    <mergeCell ref="A17:A18"/>
    <mergeCell ref="B17:B18"/>
    <mergeCell ref="C17:C18"/>
    <mergeCell ref="D17:D18"/>
    <mergeCell ref="O17:O18"/>
    <mergeCell ref="Y17:Y18"/>
    <mergeCell ref="A11:A13"/>
    <mergeCell ref="B11:B13"/>
    <mergeCell ref="C11:C13"/>
    <mergeCell ref="D11:D13"/>
    <mergeCell ref="O11:O13"/>
    <mergeCell ref="Q5:Q6"/>
    <mergeCell ref="M5:M6"/>
    <mergeCell ref="N5:N6"/>
    <mergeCell ref="I5:I6"/>
    <mergeCell ref="G5:G6"/>
    <mergeCell ref="H5:H6"/>
    <mergeCell ref="K5:K6"/>
    <mergeCell ref="V5:V6"/>
    <mergeCell ref="Y11:Y13"/>
    <mergeCell ref="A1:X1"/>
    <mergeCell ref="E5:E6"/>
    <mergeCell ref="L5:L6"/>
    <mergeCell ref="J5:J6"/>
    <mergeCell ref="F5:F6"/>
    <mergeCell ref="A2:Y2"/>
    <mergeCell ref="A3:B3"/>
    <mergeCell ref="A5:A6"/>
    <mergeCell ref="C5:C6"/>
    <mergeCell ref="D5:D6"/>
    <mergeCell ref="S5:S6"/>
    <mergeCell ref="T5:T6"/>
    <mergeCell ref="U5:U6"/>
    <mergeCell ref="V3:W3"/>
    <mergeCell ref="W5:W6"/>
    <mergeCell ref="R5:R6"/>
    <mergeCell ref="Y5:Y6"/>
    <mergeCell ref="X5:X6"/>
    <mergeCell ref="C3:S3"/>
    <mergeCell ref="T3:U3"/>
    <mergeCell ref="A4:X4"/>
    <mergeCell ref="B5:B6"/>
    <mergeCell ref="O5:O6"/>
    <mergeCell ref="P5:P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5"/>
  <sheetViews>
    <sheetView topLeftCell="A45" zoomScale="80" zoomScaleNormal="80" zoomScaleSheetLayoutView="100" workbookViewId="0">
      <selection activeCell="P58" sqref="P58"/>
    </sheetView>
  </sheetViews>
  <sheetFormatPr baseColWidth="10" defaultColWidth="11.42578125" defaultRowHeight="16.5"/>
  <cols>
    <col min="1" max="1" width="13" style="2" customWidth="1"/>
    <col min="2" max="2" width="10.7109375" style="3" customWidth="1"/>
    <col min="3" max="3" width="8.5703125" style="2" customWidth="1"/>
    <col min="4" max="4" width="46.42578125" style="3" customWidth="1"/>
    <col min="5" max="5" width="15.7109375" style="3" customWidth="1"/>
    <col min="6" max="6" width="12.42578125" style="3" customWidth="1"/>
    <col min="7" max="7" width="18" style="3" customWidth="1"/>
    <col min="8" max="8" width="12.42578125" style="3" customWidth="1"/>
    <col min="9" max="9" width="17.7109375" style="3" customWidth="1"/>
    <col min="10" max="10" width="15.28515625" style="2" customWidth="1"/>
    <col min="11" max="12" width="11.42578125" style="16" customWidth="1"/>
    <col min="13" max="13" width="12.7109375" style="16" customWidth="1"/>
    <col min="14" max="14" width="15" style="3" customWidth="1"/>
    <col min="15" max="15" width="12.7109375" style="2" customWidth="1"/>
    <col min="16" max="16" width="17.85546875" style="3" bestFit="1" customWidth="1"/>
    <col min="17" max="17" width="14.28515625" style="3" customWidth="1"/>
    <col min="18" max="20" width="12.7109375" style="3" customWidth="1"/>
    <col min="21" max="23" width="10.7109375" style="3" customWidth="1"/>
    <col min="24" max="24" width="61.28515625" style="3" customWidth="1"/>
    <col min="25" max="25" width="14.28515625" style="17" customWidth="1"/>
    <col min="26" max="26" width="10.7109375" style="3" customWidth="1"/>
    <col min="27" max="27" width="12.42578125" style="3" bestFit="1" customWidth="1"/>
    <col min="28" max="16384" width="11.42578125" style="3"/>
  </cols>
  <sheetData>
    <row r="1" spans="1:26"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6"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6" s="25" customFormat="1" ht="24.95" customHeight="1">
      <c r="A3" s="2833" t="s">
        <v>73</v>
      </c>
      <c r="B3" s="2833"/>
      <c r="C3" s="2833" t="s">
        <v>59</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6"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6" ht="53.25" customHeight="1">
      <c r="A5" s="2836" t="s">
        <v>74</v>
      </c>
      <c r="B5" s="2836" t="s">
        <v>4</v>
      </c>
      <c r="C5" s="2836" t="s">
        <v>3</v>
      </c>
      <c r="D5" s="2836" t="s">
        <v>259</v>
      </c>
      <c r="E5" s="2836" t="s">
        <v>2</v>
      </c>
      <c r="F5" s="2836" t="s">
        <v>260</v>
      </c>
      <c r="G5" s="2836" t="s">
        <v>92</v>
      </c>
      <c r="H5" s="2836" t="s">
        <v>93</v>
      </c>
      <c r="I5" s="2836" t="s">
        <v>8</v>
      </c>
      <c r="J5" s="2836" t="s">
        <v>9</v>
      </c>
      <c r="K5" s="2836" t="s">
        <v>10</v>
      </c>
      <c r="L5" s="3006" t="s">
        <v>11</v>
      </c>
      <c r="M5" s="3319" t="s">
        <v>86</v>
      </c>
      <c r="N5" s="2838" t="s">
        <v>12</v>
      </c>
      <c r="O5" s="2838" t="s">
        <v>72</v>
      </c>
      <c r="P5" s="2839" t="s">
        <v>1</v>
      </c>
      <c r="Q5" s="2838" t="s">
        <v>13</v>
      </c>
      <c r="R5" s="2838" t="s">
        <v>14</v>
      </c>
      <c r="S5" s="2838" t="s">
        <v>16</v>
      </c>
      <c r="T5" s="2838" t="s">
        <v>15</v>
      </c>
      <c r="U5" s="2838" t="s">
        <v>89</v>
      </c>
      <c r="V5" s="3308" t="s">
        <v>6</v>
      </c>
      <c r="W5" s="3308" t="s">
        <v>7</v>
      </c>
      <c r="X5" s="2838" t="s">
        <v>0</v>
      </c>
      <c r="Y5" s="2838" t="s">
        <v>76</v>
      </c>
    </row>
    <row r="6" spans="1:26" ht="42.75" customHeight="1">
      <c r="A6" s="2881"/>
      <c r="B6" s="2881"/>
      <c r="C6" s="2881"/>
      <c r="D6" s="2881"/>
      <c r="E6" s="2881"/>
      <c r="F6" s="2881"/>
      <c r="G6" s="2881"/>
      <c r="H6" s="2881"/>
      <c r="I6" s="2881"/>
      <c r="J6" s="2881"/>
      <c r="K6" s="2881"/>
      <c r="L6" s="3132"/>
      <c r="M6" s="3320"/>
      <c r="N6" s="2883"/>
      <c r="O6" s="2883"/>
      <c r="P6" s="2884"/>
      <c r="Q6" s="2883"/>
      <c r="R6" s="2883"/>
      <c r="S6" s="2883"/>
      <c r="T6" s="2883"/>
      <c r="U6" s="2883"/>
      <c r="V6" s="3309"/>
      <c r="W6" s="3309"/>
      <c r="X6" s="2883"/>
      <c r="Y6" s="2883"/>
    </row>
    <row r="7" spans="1:26">
      <c r="A7" s="1837"/>
      <c r="B7" s="1838">
        <v>51</v>
      </c>
      <c r="C7" s="1838" t="s">
        <v>100</v>
      </c>
      <c r="D7" s="1839" t="s">
        <v>1171</v>
      </c>
      <c r="E7" s="1840"/>
      <c r="F7" s="77"/>
      <c r="G7" s="77"/>
      <c r="H7" s="78"/>
      <c r="I7" s="77"/>
      <c r="J7" s="77"/>
      <c r="K7" s="77"/>
      <c r="L7" s="1841"/>
      <c r="M7" s="1842"/>
      <c r="N7" s="1843"/>
      <c r="O7" s="1844"/>
      <c r="P7" s="1722"/>
      <c r="Q7" s="1845"/>
      <c r="R7" s="1846"/>
      <c r="S7" s="1846"/>
      <c r="T7" s="1847"/>
      <c r="U7" s="1847"/>
      <c r="V7" s="1848"/>
      <c r="W7" s="1848"/>
      <c r="X7" s="1849"/>
      <c r="Y7" s="1724"/>
      <c r="Z7" s="1850"/>
    </row>
    <row r="8" spans="1:26">
      <c r="A8" s="1282"/>
      <c r="B8" s="1851">
        <v>5101</v>
      </c>
      <c r="C8" s="1851" t="s">
        <v>101</v>
      </c>
      <c r="D8" s="1852" t="s">
        <v>1468</v>
      </c>
      <c r="E8" s="85"/>
      <c r="F8" s="81"/>
      <c r="G8" s="81"/>
      <c r="H8" s="82"/>
      <c r="I8" s="81"/>
      <c r="J8" s="81"/>
      <c r="K8" s="81"/>
      <c r="L8" s="658"/>
      <c r="M8" s="73"/>
      <c r="N8" s="215"/>
      <c r="O8" s="1412"/>
      <c r="P8" s="76"/>
      <c r="Q8" s="1853"/>
      <c r="R8" s="1854"/>
      <c r="S8" s="1854"/>
      <c r="T8" s="188"/>
      <c r="U8" s="188"/>
      <c r="V8" s="101"/>
      <c r="W8" s="101"/>
      <c r="X8" s="1855"/>
      <c r="Y8" s="71"/>
      <c r="Z8" s="1850"/>
    </row>
    <row r="9" spans="1:26">
      <c r="A9" s="1283"/>
      <c r="B9" s="1285">
        <v>5101001</v>
      </c>
      <c r="C9" s="1285" t="s">
        <v>102</v>
      </c>
      <c r="D9" s="1856" t="s">
        <v>1469</v>
      </c>
      <c r="E9" s="93"/>
      <c r="F9" s="86"/>
      <c r="G9" s="86"/>
      <c r="H9" s="94"/>
      <c r="I9" s="86"/>
      <c r="J9" s="86"/>
      <c r="K9" s="86"/>
      <c r="L9" s="658"/>
      <c r="M9" s="73"/>
      <c r="N9" s="215"/>
      <c r="O9" s="98"/>
      <c r="P9" s="76"/>
      <c r="Q9" s="1853"/>
      <c r="R9" s="1854"/>
      <c r="S9" s="1854"/>
      <c r="T9" s="1857"/>
      <c r="U9" s="1857"/>
      <c r="V9" s="101"/>
      <c r="W9" s="101"/>
      <c r="X9" s="1855"/>
      <c r="Y9" s="71"/>
      <c r="Z9" s="1850"/>
    </row>
    <row r="10" spans="1:26">
      <c r="A10" s="1284"/>
      <c r="B10" s="1858">
        <v>51010010007</v>
      </c>
      <c r="C10" s="1859" t="s">
        <v>103</v>
      </c>
      <c r="D10" s="1860" t="s">
        <v>4359</v>
      </c>
      <c r="E10" s="71"/>
      <c r="F10" s="128">
        <v>1</v>
      </c>
      <c r="G10" s="73"/>
      <c r="H10" s="678"/>
      <c r="I10" s="73"/>
      <c r="J10" s="73"/>
      <c r="K10" s="73"/>
      <c r="L10" s="660"/>
      <c r="M10" s="73"/>
      <c r="N10" s="215"/>
      <c r="O10" s="1412"/>
      <c r="P10" s="216"/>
      <c r="Q10" s="1740"/>
      <c r="R10" s="1861"/>
      <c r="S10" s="1861"/>
      <c r="T10" s="215"/>
      <c r="U10" s="215"/>
      <c r="V10" s="110"/>
      <c r="W10" s="110"/>
      <c r="X10" s="1855"/>
      <c r="Y10" s="92"/>
      <c r="Z10" s="1850"/>
    </row>
    <row r="11" spans="1:26" ht="13.9" customHeight="1">
      <c r="A11" s="3325">
        <v>4172</v>
      </c>
      <c r="B11" s="3327"/>
      <c r="C11" s="3329" t="s">
        <v>451</v>
      </c>
      <c r="D11" s="3331" t="s">
        <v>4360</v>
      </c>
      <c r="E11" s="92" t="s">
        <v>4361</v>
      </c>
      <c r="F11" s="128"/>
      <c r="G11" s="73"/>
      <c r="H11" s="678">
        <f>H12</f>
        <v>1</v>
      </c>
      <c r="I11" s="73"/>
      <c r="J11" s="73"/>
      <c r="K11" s="73">
        <f>SUM(K12)</f>
        <v>1</v>
      </c>
      <c r="L11" s="660">
        <f>SUM(L12:L14)</f>
        <v>1</v>
      </c>
      <c r="M11" s="656">
        <f>SUM(M12:M14)</f>
        <v>0</v>
      </c>
      <c r="N11" s="134">
        <f>SUM(N12:N14)</f>
        <v>0.1928</v>
      </c>
      <c r="O11" s="938">
        <f>IF(Q11&gt;0,N11,"NA")</f>
        <v>0.1928</v>
      </c>
      <c r="P11" s="216">
        <f>SUM(P12:P14)</f>
        <v>603159100</v>
      </c>
      <c r="Q11" s="216">
        <f>SUM(Q12:Q14)</f>
        <v>797926650</v>
      </c>
      <c r="R11" s="74">
        <f>SUM(R12:R14)</f>
        <v>395243940</v>
      </c>
      <c r="S11" s="74">
        <f>SUM(S12:S14)</f>
        <v>64121000</v>
      </c>
      <c r="T11" s="215">
        <f>+IF(Q11=0,0,R11/Q11)</f>
        <v>0.49533868808617937</v>
      </c>
      <c r="U11" s="215">
        <f>+IF(R11=0,0,S11/R11)</f>
        <v>0.16223145635072861</v>
      </c>
      <c r="V11" s="3342">
        <v>45306</v>
      </c>
      <c r="W11" s="3342">
        <v>45657</v>
      </c>
      <c r="X11" s="3343" t="s">
        <v>5687</v>
      </c>
      <c r="Y11" s="2853" t="s">
        <v>4362</v>
      </c>
      <c r="Z11" s="1850"/>
    </row>
    <row r="12" spans="1:26" ht="148.5" customHeight="1">
      <c r="A12" s="3326"/>
      <c r="B12" s="3328"/>
      <c r="C12" s="3330"/>
      <c r="D12" s="3332"/>
      <c r="E12" s="2921" t="s">
        <v>4363</v>
      </c>
      <c r="F12" s="2853"/>
      <c r="G12" s="2853" t="s">
        <v>4364</v>
      </c>
      <c r="H12" s="2995">
        <v>1</v>
      </c>
      <c r="I12" s="2853" t="s">
        <v>5688</v>
      </c>
      <c r="J12" s="2853" t="s">
        <v>4365</v>
      </c>
      <c r="K12" s="3345">
        <v>1</v>
      </c>
      <c r="L12" s="3316">
        <v>1</v>
      </c>
      <c r="M12" s="3348">
        <v>0</v>
      </c>
      <c r="N12" s="3351">
        <v>0.1928</v>
      </c>
      <c r="O12" s="3354">
        <f>IF(Q12&gt;0,N12,"NA")</f>
        <v>0.1928</v>
      </c>
      <c r="P12" s="3310">
        <v>603159100</v>
      </c>
      <c r="Q12" s="3310">
        <v>797926650</v>
      </c>
      <c r="R12" s="3313">
        <v>395243940</v>
      </c>
      <c r="S12" s="3313">
        <v>64121000</v>
      </c>
      <c r="T12" s="3316">
        <f>+IF(Q12=0,0,R12/Q12)</f>
        <v>0.49533868808617937</v>
      </c>
      <c r="U12" s="3316">
        <f t="shared" ref="U12" si="0">+IF(R12=0,0,S12/R12)</f>
        <v>0.16223145635072861</v>
      </c>
      <c r="V12" s="3202"/>
      <c r="W12" s="3202"/>
      <c r="X12" s="3344"/>
      <c r="Y12" s="2969"/>
      <c r="Z12" s="1850"/>
    </row>
    <row r="13" spans="1:26">
      <c r="A13" s="3326"/>
      <c r="B13" s="3328"/>
      <c r="C13" s="3330"/>
      <c r="D13" s="3332"/>
      <c r="E13" s="3248"/>
      <c r="F13" s="2969"/>
      <c r="G13" s="2969"/>
      <c r="H13" s="3204"/>
      <c r="I13" s="2969"/>
      <c r="J13" s="2969"/>
      <c r="K13" s="3346"/>
      <c r="L13" s="3317"/>
      <c r="M13" s="3349"/>
      <c r="N13" s="3352"/>
      <c r="O13" s="3355"/>
      <c r="P13" s="3311"/>
      <c r="Q13" s="3311"/>
      <c r="R13" s="3314"/>
      <c r="S13" s="3314"/>
      <c r="T13" s="3317"/>
      <c r="U13" s="3317"/>
      <c r="V13" s="3202"/>
      <c r="W13" s="3202"/>
      <c r="X13" s="3344"/>
      <c r="Y13" s="2969"/>
      <c r="Z13" s="1850"/>
    </row>
    <row r="14" spans="1:26">
      <c r="A14" s="2851"/>
      <c r="B14" s="2851"/>
      <c r="C14" s="2851"/>
      <c r="D14" s="2851"/>
      <c r="E14" s="3245"/>
      <c r="F14" s="2970"/>
      <c r="G14" s="2970"/>
      <c r="H14" s="3205"/>
      <c r="I14" s="2970"/>
      <c r="J14" s="2970"/>
      <c r="K14" s="3347"/>
      <c r="L14" s="3318"/>
      <c r="M14" s="3350"/>
      <c r="N14" s="3353"/>
      <c r="O14" s="3356"/>
      <c r="P14" s="3312"/>
      <c r="Q14" s="3312"/>
      <c r="R14" s="3315"/>
      <c r="S14" s="3315"/>
      <c r="T14" s="3318"/>
      <c r="U14" s="3318"/>
      <c r="V14" s="3203"/>
      <c r="W14" s="3203"/>
      <c r="X14" s="2851"/>
      <c r="Y14" s="2851"/>
      <c r="Z14" s="1850"/>
    </row>
    <row r="15" spans="1:26">
      <c r="A15" s="1282"/>
      <c r="B15" s="1851">
        <v>5103</v>
      </c>
      <c r="C15" s="1862" t="s">
        <v>101</v>
      </c>
      <c r="D15" s="1863" t="s">
        <v>2469</v>
      </c>
      <c r="E15" s="85"/>
      <c r="F15" s="128"/>
      <c r="G15" s="110"/>
      <c r="H15" s="128"/>
      <c r="I15" s="92"/>
      <c r="J15" s="92"/>
      <c r="K15" s="72"/>
      <c r="L15" s="660"/>
      <c r="M15" s="73"/>
      <c r="N15" s="215"/>
      <c r="O15" s="1443"/>
      <c r="P15" s="216"/>
      <c r="Q15" s="1740"/>
      <c r="R15" s="1861"/>
      <c r="S15" s="1861"/>
      <c r="T15" s="215"/>
      <c r="U15" s="215"/>
      <c r="V15" s="110"/>
      <c r="W15" s="110"/>
      <c r="X15" s="1855"/>
      <c r="Y15" s="92"/>
      <c r="Z15" s="1850"/>
    </row>
    <row r="16" spans="1:26" ht="16.5" customHeight="1">
      <c r="A16" s="1283"/>
      <c r="B16" s="1285">
        <v>5103001</v>
      </c>
      <c r="C16" s="1864" t="s">
        <v>102</v>
      </c>
      <c r="D16" s="1865" t="s">
        <v>4366</v>
      </c>
      <c r="E16" s="93"/>
      <c r="F16" s="128"/>
      <c r="G16" s="110"/>
      <c r="H16" s="128"/>
      <c r="I16" s="92"/>
      <c r="J16" s="92"/>
      <c r="K16" s="72"/>
      <c r="L16" s="660"/>
      <c r="M16" s="73"/>
      <c r="N16" s="215"/>
      <c r="O16" s="1443"/>
      <c r="P16" s="73"/>
      <c r="Q16" s="1866"/>
      <c r="R16" s="1861"/>
      <c r="S16" s="1861"/>
      <c r="T16" s="215"/>
      <c r="U16" s="215"/>
      <c r="V16" s="73"/>
      <c r="W16" s="73"/>
      <c r="X16" s="1855"/>
      <c r="Y16" s="92"/>
      <c r="Z16" s="1850"/>
    </row>
    <row r="17" spans="1:26" ht="27" customHeight="1">
      <c r="A17" s="1271"/>
      <c r="B17" s="1858">
        <v>51030010009</v>
      </c>
      <c r="C17" s="1859" t="s">
        <v>103</v>
      </c>
      <c r="D17" s="1860" t="s">
        <v>4367</v>
      </c>
      <c r="E17" s="71"/>
      <c r="F17" s="678">
        <v>1</v>
      </c>
      <c r="G17" s="73"/>
      <c r="H17" s="72"/>
      <c r="I17" s="92"/>
      <c r="J17" s="72"/>
      <c r="K17" s="73"/>
      <c r="L17" s="228"/>
      <c r="M17" s="73"/>
      <c r="N17" s="215"/>
      <c r="O17" s="1443"/>
      <c r="P17" s="73"/>
      <c r="Q17" s="1866"/>
      <c r="R17" s="1861"/>
      <c r="S17" s="1861"/>
      <c r="T17" s="215"/>
      <c r="U17" s="215"/>
      <c r="V17" s="73"/>
      <c r="W17" s="73"/>
      <c r="X17" s="1855"/>
      <c r="Y17" s="92"/>
      <c r="Z17" s="1850"/>
    </row>
    <row r="18" spans="1:26" ht="40.5" customHeight="1">
      <c r="A18" s="3325">
        <v>4172</v>
      </c>
      <c r="B18" s="3329"/>
      <c r="C18" s="3329" t="s">
        <v>451</v>
      </c>
      <c r="D18" s="3321" t="s">
        <v>4368</v>
      </c>
      <c r="E18" s="92" t="s">
        <v>4369</v>
      </c>
      <c r="F18" s="128"/>
      <c r="G18" s="110"/>
      <c r="H18" s="128">
        <f>H19</f>
        <v>1</v>
      </c>
      <c r="I18" s="92"/>
      <c r="J18" s="92"/>
      <c r="K18" s="73">
        <f t="shared" ref="K18:L18" si="1">SUM(K19:K20)</f>
        <v>1</v>
      </c>
      <c r="L18" s="228">
        <f t="shared" si="1"/>
        <v>1</v>
      </c>
      <c r="M18" s="656">
        <f>SUM(M19:M20)</f>
        <v>0</v>
      </c>
      <c r="N18" s="215">
        <f>SUM(N19:N20)</f>
        <v>0</v>
      </c>
      <c r="O18" s="3011">
        <f>IF(Q18&gt;0,N18,"NA")</f>
        <v>0</v>
      </c>
      <c r="P18" s="216">
        <f>SUM(P19:P20)</f>
        <v>141958776</v>
      </c>
      <c r="Q18" s="216">
        <f>SUM(Q19:Q20)</f>
        <v>141958776</v>
      </c>
      <c r="R18" s="74">
        <f>SUM(R19:R20)</f>
        <v>0</v>
      </c>
      <c r="S18" s="74">
        <f>SUM(S19:S20)</f>
        <v>0</v>
      </c>
      <c r="T18" s="215">
        <f>+IF(Q18=0,0,R18/Q18)</f>
        <v>0</v>
      </c>
      <c r="U18" s="215">
        <f t="shared" ref="T18:U20" si="2">+IF(R18=0,0,S18/R18)</f>
        <v>0</v>
      </c>
      <c r="V18" s="2849"/>
      <c r="W18" s="2849"/>
      <c r="X18" s="3324"/>
      <c r="Y18" s="2853" t="s">
        <v>60</v>
      </c>
      <c r="Z18" s="1850"/>
    </row>
    <row r="19" spans="1:26" ht="27">
      <c r="A19" s="2851"/>
      <c r="B19" s="2851"/>
      <c r="C19" s="2851"/>
      <c r="D19" s="2850"/>
      <c r="E19" s="92" t="s">
        <v>4370</v>
      </c>
      <c r="F19" s="128"/>
      <c r="G19" s="2921" t="s">
        <v>4371</v>
      </c>
      <c r="H19" s="2853">
        <v>1</v>
      </c>
      <c r="I19" s="92" t="s">
        <v>4372</v>
      </c>
      <c r="J19" s="110" t="s">
        <v>4373</v>
      </c>
      <c r="K19" s="1264">
        <v>0</v>
      </c>
      <c r="L19" s="228">
        <v>0</v>
      </c>
      <c r="M19" s="656">
        <v>0</v>
      </c>
      <c r="N19" s="215">
        <v>0</v>
      </c>
      <c r="O19" s="3322"/>
      <c r="P19" s="216">
        <v>0</v>
      </c>
      <c r="Q19" s="216">
        <v>0</v>
      </c>
      <c r="R19" s="74">
        <v>0</v>
      </c>
      <c r="S19" s="74">
        <v>0</v>
      </c>
      <c r="T19" s="215">
        <f t="shared" si="2"/>
        <v>0</v>
      </c>
      <c r="U19" s="215">
        <f t="shared" si="2"/>
        <v>0</v>
      </c>
      <c r="V19" s="3202"/>
      <c r="W19" s="3202"/>
      <c r="X19" s="2850"/>
      <c r="Y19" s="2850"/>
      <c r="Z19" s="1850"/>
    </row>
    <row r="20" spans="1:26" ht="13.9" customHeight="1">
      <c r="A20" s="1867"/>
      <c r="B20" s="1868"/>
      <c r="C20" s="1868"/>
      <c r="D20" s="2851"/>
      <c r="E20" s="92" t="s">
        <v>4374</v>
      </c>
      <c r="F20" s="678"/>
      <c r="G20" s="2851"/>
      <c r="H20" s="2851"/>
      <c r="I20" s="92" t="s">
        <v>4375</v>
      </c>
      <c r="J20" s="110" t="s">
        <v>4376</v>
      </c>
      <c r="K20" s="73">
        <v>1</v>
      </c>
      <c r="L20" s="228">
        <v>1</v>
      </c>
      <c r="M20" s="656">
        <v>0</v>
      </c>
      <c r="N20" s="215">
        <v>0</v>
      </c>
      <c r="O20" s="3323"/>
      <c r="P20" s="216">
        <v>141958776</v>
      </c>
      <c r="Q20" s="216">
        <v>141958776</v>
      </c>
      <c r="R20" s="74">
        <v>0</v>
      </c>
      <c r="S20" s="74">
        <v>0</v>
      </c>
      <c r="T20" s="215">
        <f t="shared" si="2"/>
        <v>0</v>
      </c>
      <c r="U20" s="215">
        <f t="shared" si="2"/>
        <v>0</v>
      </c>
      <c r="V20" s="3203"/>
      <c r="W20" s="3203"/>
      <c r="X20" s="2851"/>
      <c r="Y20" s="2851"/>
      <c r="Z20" s="1850"/>
    </row>
    <row r="21" spans="1:26" ht="283.5" customHeight="1">
      <c r="A21" s="1271"/>
      <c r="B21" s="1858">
        <v>51030010010</v>
      </c>
      <c r="C21" s="1859" t="s">
        <v>103</v>
      </c>
      <c r="D21" s="1869" t="s">
        <v>4377</v>
      </c>
      <c r="E21" s="71"/>
      <c r="F21" s="1870">
        <v>6</v>
      </c>
      <c r="G21" s="73"/>
      <c r="H21" s="72"/>
      <c r="I21" s="92"/>
      <c r="J21" s="73"/>
      <c r="K21" s="73"/>
      <c r="L21" s="660"/>
      <c r="M21" s="73"/>
      <c r="N21" s="215"/>
      <c r="O21" s="218"/>
      <c r="P21" s="73"/>
      <c r="Q21" s="1866"/>
      <c r="R21" s="1861"/>
      <c r="S21" s="1861"/>
      <c r="T21" s="215"/>
      <c r="U21" s="215"/>
      <c r="V21" s="73"/>
      <c r="W21" s="73"/>
      <c r="X21" s="1855"/>
      <c r="Y21" s="92"/>
      <c r="Z21" s="1850"/>
    </row>
    <row r="22" spans="1:26" ht="16.5" customHeight="1">
      <c r="A22" s="3325">
        <v>4172</v>
      </c>
      <c r="B22" s="3327"/>
      <c r="C22" s="3329" t="s">
        <v>451</v>
      </c>
      <c r="D22" s="3339" t="s">
        <v>4378</v>
      </c>
      <c r="E22" s="92" t="s">
        <v>4379</v>
      </c>
      <c r="F22" s="72">
        <v>1</v>
      </c>
      <c r="G22" s="73"/>
      <c r="H22" s="72">
        <f>H23</f>
        <v>1</v>
      </c>
      <c r="I22" s="92"/>
      <c r="J22" s="73"/>
      <c r="K22" s="73">
        <f t="shared" ref="K22:L26" si="3">SUM(K23)</f>
        <v>1</v>
      </c>
      <c r="L22" s="228">
        <f t="shared" si="3"/>
        <v>1</v>
      </c>
      <c r="M22" s="73">
        <f>M23</f>
        <v>0</v>
      </c>
      <c r="N22" s="215">
        <f t="shared" ref="M22:N26" si="4">N23</f>
        <v>0.1</v>
      </c>
      <c r="O22" s="3011">
        <f>IF(Q23&gt;0,N23,"NA")</f>
        <v>0.1</v>
      </c>
      <c r="P22" s="216">
        <f t="shared" ref="P22:Q26" si="5">SUM(P23)</f>
        <v>4392806950</v>
      </c>
      <c r="Q22" s="216">
        <f t="shared" si="5"/>
        <v>3333959450</v>
      </c>
      <c r="R22" s="74">
        <f>R23</f>
        <v>1592179000</v>
      </c>
      <c r="S22" s="74">
        <f>S23</f>
        <v>819279500</v>
      </c>
      <c r="T22" s="215">
        <f t="shared" ref="T22:U27" si="6">+IF(Q22=0,0,R22/Q22)</f>
        <v>0.47756399676666733</v>
      </c>
      <c r="U22" s="215">
        <f t="shared" si="6"/>
        <v>0.51456494527311314</v>
      </c>
      <c r="V22" s="3342">
        <v>45306</v>
      </c>
      <c r="W22" s="3342">
        <v>45657</v>
      </c>
      <c r="X22" s="3357" t="s">
        <v>5689</v>
      </c>
      <c r="Y22" s="2853" t="s">
        <v>4362</v>
      </c>
      <c r="Z22" s="1850"/>
    </row>
    <row r="23" spans="1:26" ht="16.5" customHeight="1">
      <c r="A23" s="2851"/>
      <c r="B23" s="2851"/>
      <c r="C23" s="3338"/>
      <c r="D23" s="3340"/>
      <c r="E23" s="92" t="s">
        <v>4380</v>
      </c>
      <c r="F23" s="72"/>
      <c r="G23" s="110" t="s">
        <v>4377</v>
      </c>
      <c r="H23" s="72">
        <v>1</v>
      </c>
      <c r="I23" s="92" t="s">
        <v>4381</v>
      </c>
      <c r="J23" s="92" t="s">
        <v>156</v>
      </c>
      <c r="K23" s="73">
        <v>1</v>
      </c>
      <c r="L23" s="228">
        <v>1</v>
      </c>
      <c r="M23" s="1463">
        <v>0</v>
      </c>
      <c r="N23" s="228">
        <v>0.1</v>
      </c>
      <c r="O23" s="3341"/>
      <c r="P23" s="216">
        <v>4392806950</v>
      </c>
      <c r="Q23" s="216">
        <v>3333959450</v>
      </c>
      <c r="R23" s="74">
        <v>1592179000</v>
      </c>
      <c r="S23" s="74">
        <v>819279500</v>
      </c>
      <c r="T23" s="215">
        <f t="shared" si="6"/>
        <v>0.47756399676666733</v>
      </c>
      <c r="U23" s="215">
        <f t="shared" si="6"/>
        <v>0.51456494527311314</v>
      </c>
      <c r="V23" s="3203"/>
      <c r="W23" s="3203"/>
      <c r="X23" s="3358"/>
      <c r="Y23" s="2970"/>
      <c r="Z23" s="1850"/>
    </row>
    <row r="24" spans="1:26" ht="67.5" customHeight="1">
      <c r="A24" s="3325">
        <v>4172</v>
      </c>
      <c r="B24" s="3327"/>
      <c r="C24" s="3329" t="s">
        <v>451</v>
      </c>
      <c r="D24" s="3339" t="s">
        <v>5690</v>
      </c>
      <c r="E24" s="92" t="s">
        <v>5691</v>
      </c>
      <c r="F24" s="72">
        <v>4</v>
      </c>
      <c r="G24" s="73"/>
      <c r="H24" s="72">
        <f>H25</f>
        <v>4</v>
      </c>
      <c r="I24" s="92"/>
      <c r="J24" s="73"/>
      <c r="K24" s="73">
        <f t="shared" si="3"/>
        <v>4</v>
      </c>
      <c r="L24" s="228">
        <f t="shared" si="3"/>
        <v>1</v>
      </c>
      <c r="M24" s="73">
        <f t="shared" si="4"/>
        <v>0</v>
      </c>
      <c r="N24" s="215">
        <f t="shared" si="4"/>
        <v>0</v>
      </c>
      <c r="O24" s="3011">
        <f>IF(Q25&gt;0,N25,"NA")</f>
        <v>0</v>
      </c>
      <c r="P24" s="216">
        <f t="shared" si="5"/>
        <v>0</v>
      </c>
      <c r="Q24" s="216">
        <f t="shared" si="5"/>
        <v>526747500</v>
      </c>
      <c r="R24" s="74">
        <f>R25</f>
        <v>0</v>
      </c>
      <c r="S24" s="74">
        <f>S25</f>
        <v>0</v>
      </c>
      <c r="T24" s="215">
        <f t="shared" si="6"/>
        <v>0</v>
      </c>
      <c r="U24" s="215">
        <f t="shared" si="6"/>
        <v>0</v>
      </c>
      <c r="V24" s="3342"/>
      <c r="W24" s="3342"/>
      <c r="X24" s="3359"/>
      <c r="Y24" s="2853" t="s">
        <v>4362</v>
      </c>
      <c r="Z24" s="1850"/>
    </row>
    <row r="25" spans="1:26" ht="13.9" customHeight="1">
      <c r="A25" s="2851"/>
      <c r="B25" s="2851"/>
      <c r="C25" s="3338"/>
      <c r="D25" s="3340"/>
      <c r="E25" s="92" t="s">
        <v>5692</v>
      </c>
      <c r="F25" s="72"/>
      <c r="G25" s="110" t="s">
        <v>4377</v>
      </c>
      <c r="H25" s="72">
        <v>4</v>
      </c>
      <c r="I25" s="92" t="s">
        <v>5693</v>
      </c>
      <c r="J25" s="92" t="s">
        <v>5694</v>
      </c>
      <c r="K25" s="73">
        <v>4</v>
      </c>
      <c r="L25" s="228">
        <v>1</v>
      </c>
      <c r="M25" s="73">
        <v>0</v>
      </c>
      <c r="N25" s="228">
        <v>0</v>
      </c>
      <c r="O25" s="3341"/>
      <c r="P25" s="216">
        <v>0</v>
      </c>
      <c r="Q25" s="216">
        <v>526747500</v>
      </c>
      <c r="R25" s="74">
        <v>0</v>
      </c>
      <c r="S25" s="74">
        <v>0</v>
      </c>
      <c r="T25" s="215">
        <f t="shared" si="6"/>
        <v>0</v>
      </c>
      <c r="U25" s="215">
        <f t="shared" si="6"/>
        <v>0</v>
      </c>
      <c r="V25" s="3203"/>
      <c r="W25" s="3203"/>
      <c r="X25" s="3360"/>
      <c r="Y25" s="2970"/>
      <c r="Z25" s="1850"/>
    </row>
    <row r="26" spans="1:26" ht="67.5" customHeight="1">
      <c r="A26" s="3325">
        <v>4172</v>
      </c>
      <c r="B26" s="3327"/>
      <c r="C26" s="3329" t="s">
        <v>451</v>
      </c>
      <c r="D26" s="3339" t="s">
        <v>5695</v>
      </c>
      <c r="E26" s="92" t="s">
        <v>5696</v>
      </c>
      <c r="F26" s="72">
        <v>1</v>
      </c>
      <c r="G26" s="73"/>
      <c r="H26" s="72">
        <f>H27</f>
        <v>1</v>
      </c>
      <c r="I26" s="92"/>
      <c r="J26" s="73"/>
      <c r="K26" s="73">
        <f t="shared" si="3"/>
        <v>1</v>
      </c>
      <c r="L26" s="228">
        <f t="shared" si="3"/>
        <v>1</v>
      </c>
      <c r="M26" s="73">
        <f t="shared" si="4"/>
        <v>0</v>
      </c>
      <c r="N26" s="215">
        <f t="shared" si="4"/>
        <v>0</v>
      </c>
      <c r="O26" s="3011">
        <f>IF(Q27&gt;0,N27,"NA")</f>
        <v>0</v>
      </c>
      <c r="P26" s="216">
        <f t="shared" si="5"/>
        <v>0</v>
      </c>
      <c r="Q26" s="216">
        <f t="shared" si="5"/>
        <v>532100000</v>
      </c>
      <c r="R26" s="74">
        <f>R27</f>
        <v>0</v>
      </c>
      <c r="S26" s="74">
        <f>S27</f>
        <v>0</v>
      </c>
      <c r="T26" s="215">
        <f t="shared" si="6"/>
        <v>0</v>
      </c>
      <c r="U26" s="215">
        <f t="shared" si="6"/>
        <v>0</v>
      </c>
      <c r="V26" s="3342"/>
      <c r="W26" s="3342"/>
      <c r="X26" s="3359"/>
      <c r="Y26" s="2853" t="s">
        <v>4362</v>
      </c>
      <c r="Z26" s="1850"/>
    </row>
    <row r="27" spans="1:26" ht="27">
      <c r="A27" s="2851"/>
      <c r="B27" s="2851"/>
      <c r="C27" s="3338"/>
      <c r="D27" s="3340"/>
      <c r="E27" s="92" t="s">
        <v>5697</v>
      </c>
      <c r="F27" s="72"/>
      <c r="G27" s="110" t="s">
        <v>4377</v>
      </c>
      <c r="H27" s="72">
        <v>1</v>
      </c>
      <c r="I27" s="92" t="s">
        <v>5698</v>
      </c>
      <c r="J27" s="92" t="s">
        <v>193</v>
      </c>
      <c r="K27" s="73">
        <v>1</v>
      </c>
      <c r="L27" s="228">
        <v>1</v>
      </c>
      <c r="M27" s="1463">
        <v>0</v>
      </c>
      <c r="N27" s="228">
        <v>0</v>
      </c>
      <c r="O27" s="3341"/>
      <c r="P27" s="216">
        <v>0</v>
      </c>
      <c r="Q27" s="216">
        <v>532100000</v>
      </c>
      <c r="R27" s="74">
        <v>0</v>
      </c>
      <c r="S27" s="74">
        <v>0</v>
      </c>
      <c r="T27" s="215">
        <f t="shared" si="6"/>
        <v>0</v>
      </c>
      <c r="U27" s="215">
        <f t="shared" si="6"/>
        <v>0</v>
      </c>
      <c r="V27" s="3203"/>
      <c r="W27" s="3203"/>
      <c r="X27" s="3360"/>
      <c r="Y27" s="2970"/>
      <c r="Z27" s="1850"/>
    </row>
    <row r="28" spans="1:26" ht="67.5" customHeight="1">
      <c r="A28" s="294"/>
      <c r="B28" s="330">
        <v>51030010011</v>
      </c>
      <c r="C28" s="330" t="s">
        <v>103</v>
      </c>
      <c r="D28" s="329" t="s">
        <v>4382</v>
      </c>
      <c r="E28" s="329"/>
      <c r="F28" s="294">
        <f>H30+H32+H34</f>
        <v>3</v>
      </c>
      <c r="G28" s="186"/>
      <c r="H28" s="186"/>
      <c r="I28" s="186"/>
      <c r="J28" s="184"/>
      <c r="K28" s="186"/>
      <c r="L28" s="803"/>
      <c r="M28" s="353"/>
      <c r="N28" s="353"/>
      <c r="O28" s="362"/>
      <c r="P28" s="182"/>
      <c r="Q28" s="1464"/>
      <c r="R28" s="1464"/>
      <c r="S28" s="1464"/>
      <c r="T28" s="1464"/>
      <c r="U28" s="1464"/>
      <c r="V28" s="1464"/>
      <c r="W28" s="1464"/>
      <c r="X28" s="27"/>
      <c r="Y28" s="27"/>
      <c r="Z28" s="27"/>
    </row>
    <row r="29" spans="1:26">
      <c r="A29" s="3260">
        <v>4172</v>
      </c>
      <c r="B29" s="3335"/>
      <c r="C29" s="3334" t="s">
        <v>109</v>
      </c>
      <c r="D29" s="3231" t="s">
        <v>4383</v>
      </c>
      <c r="E29" s="331" t="s">
        <v>4384</v>
      </c>
      <c r="F29" s="294"/>
      <c r="G29" s="186"/>
      <c r="H29" s="186"/>
      <c r="I29" s="186"/>
      <c r="J29" s="331"/>
      <c r="K29" s="186"/>
      <c r="L29" s="804">
        <f>SUM(L30)</f>
        <v>1</v>
      </c>
      <c r="M29" s="485"/>
      <c r="N29" s="484"/>
      <c r="O29" s="3336">
        <f>IF(Q30&gt;0,N30,"NA")</f>
        <v>0</v>
      </c>
      <c r="P29" s="201">
        <f>P30</f>
        <v>451050000</v>
      </c>
      <c r="Q29" s="367">
        <f>Q30</f>
        <v>451050000</v>
      </c>
      <c r="R29" s="1464">
        <f>R30</f>
        <v>0</v>
      </c>
      <c r="S29" s="1464">
        <f>S30</f>
        <v>0</v>
      </c>
      <c r="T29" s="1464">
        <f>+IF(Q29=0,0,R29/Q29)</f>
        <v>0</v>
      </c>
      <c r="U29" s="1464">
        <f>+IF(R29=0,0,S29/R29)</f>
        <v>0</v>
      </c>
      <c r="V29" s="1464"/>
      <c r="W29" s="1464"/>
      <c r="X29" s="27"/>
      <c r="Y29" s="27"/>
      <c r="Z29" s="27"/>
    </row>
    <row r="30" spans="1:26" ht="14.45" customHeight="1">
      <c r="A30" s="3260"/>
      <c r="B30" s="3335"/>
      <c r="C30" s="3334"/>
      <c r="D30" s="3231"/>
      <c r="E30" s="331" t="s">
        <v>4385</v>
      </c>
      <c r="F30" s="294"/>
      <c r="G30" s="285" t="s">
        <v>4386</v>
      </c>
      <c r="H30" s="294">
        <v>1</v>
      </c>
      <c r="I30" s="331" t="s">
        <v>434</v>
      </c>
      <c r="J30" s="331" t="s">
        <v>156</v>
      </c>
      <c r="K30" s="332">
        <v>1</v>
      </c>
      <c r="L30" s="804">
        <v>1</v>
      </c>
      <c r="M30" s="485">
        <v>0</v>
      </c>
      <c r="N30" s="195">
        <v>0</v>
      </c>
      <c r="O30" s="3337"/>
      <c r="P30" s="201">
        <v>451050000</v>
      </c>
      <c r="Q30" s="367">
        <v>451050000</v>
      </c>
      <c r="R30" s="1464">
        <v>0</v>
      </c>
      <c r="S30" s="1464">
        <v>0</v>
      </c>
      <c r="T30" s="1464">
        <f>+IF(Q30=0,0,R30/Q30)</f>
        <v>0</v>
      </c>
      <c r="U30" s="1464">
        <f t="shared" ref="U30:U52" si="7">+IF(R30=0,0,S30/R30)</f>
        <v>0</v>
      </c>
      <c r="V30" s="1464"/>
      <c r="W30" s="1464"/>
      <c r="X30" s="27"/>
      <c r="Y30" s="27"/>
      <c r="Z30" s="27"/>
    </row>
    <row r="31" spans="1:26" ht="148.5" customHeight="1">
      <c r="A31" s="3260">
        <v>4172</v>
      </c>
      <c r="B31" s="3335"/>
      <c r="C31" s="3334" t="s">
        <v>109</v>
      </c>
      <c r="D31" s="3231" t="s">
        <v>4387</v>
      </c>
      <c r="E31" s="331" t="s">
        <v>4388</v>
      </c>
      <c r="F31" s="294"/>
      <c r="G31" s="186"/>
      <c r="H31" s="186"/>
      <c r="I31" s="186"/>
      <c r="J31" s="331"/>
      <c r="K31" s="186"/>
      <c r="L31" s="804">
        <f>SUM(L32)</f>
        <v>1</v>
      </c>
      <c r="M31" s="485"/>
      <c r="N31" s="484"/>
      <c r="O31" s="3336">
        <f>IF(Q32&gt;0,N32,"NA")</f>
        <v>0</v>
      </c>
      <c r="P31" s="201">
        <f>P32</f>
        <v>94500000</v>
      </c>
      <c r="Q31" s="367">
        <f>Q32</f>
        <v>94500000</v>
      </c>
      <c r="R31" s="1464">
        <f>R32</f>
        <v>0</v>
      </c>
      <c r="S31" s="1464">
        <f>S32</f>
        <v>0</v>
      </c>
      <c r="T31" s="1464">
        <f t="shared" ref="T31:T52" si="8">+IF(Q31=0,0,R31/Q31)</f>
        <v>0</v>
      </c>
      <c r="U31" s="1464">
        <f t="shared" si="7"/>
        <v>0</v>
      </c>
      <c r="V31" s="1464"/>
      <c r="W31" s="1464"/>
      <c r="X31" s="27"/>
      <c r="Y31" s="27"/>
      <c r="Z31" s="27"/>
    </row>
    <row r="32" spans="1:26" ht="40.5">
      <c r="A32" s="3260"/>
      <c r="B32" s="3335"/>
      <c r="C32" s="3334"/>
      <c r="D32" s="3231"/>
      <c r="E32" s="331" t="s">
        <v>4389</v>
      </c>
      <c r="F32" s="294"/>
      <c r="G32" s="285" t="s">
        <v>4386</v>
      </c>
      <c r="H32" s="294">
        <v>1</v>
      </c>
      <c r="I32" s="331" t="s">
        <v>434</v>
      </c>
      <c r="J32" s="331" t="s">
        <v>156</v>
      </c>
      <c r="K32" s="332">
        <v>1</v>
      </c>
      <c r="L32" s="804">
        <v>1</v>
      </c>
      <c r="M32" s="485">
        <v>0</v>
      </c>
      <c r="N32" s="195">
        <v>0</v>
      </c>
      <c r="O32" s="3337"/>
      <c r="P32" s="201">
        <v>94500000</v>
      </c>
      <c r="Q32" s="367">
        <v>94500000</v>
      </c>
      <c r="R32" s="1464">
        <v>0</v>
      </c>
      <c r="S32" s="1464">
        <v>0</v>
      </c>
      <c r="T32" s="1464">
        <f t="shared" si="8"/>
        <v>0</v>
      </c>
      <c r="U32" s="1464">
        <f t="shared" si="7"/>
        <v>0</v>
      </c>
      <c r="V32" s="1464"/>
      <c r="W32" s="1464"/>
      <c r="X32" s="27"/>
      <c r="Y32" s="27"/>
      <c r="Z32" s="27"/>
    </row>
    <row r="33" spans="1:26" ht="14.45" customHeight="1">
      <c r="A33" s="3260">
        <v>4172</v>
      </c>
      <c r="B33" s="3335"/>
      <c r="C33" s="3334" t="s">
        <v>109</v>
      </c>
      <c r="D33" s="3231" t="s">
        <v>4390</v>
      </c>
      <c r="E33" s="331" t="s">
        <v>4391</v>
      </c>
      <c r="F33" s="294"/>
      <c r="G33" s="285"/>
      <c r="H33" s="294"/>
      <c r="I33" s="331"/>
      <c r="J33" s="331"/>
      <c r="K33" s="332"/>
      <c r="L33" s="804">
        <f>SUM(L34)</f>
        <v>1</v>
      </c>
      <c r="M33" s="485"/>
      <c r="N33" s="484"/>
      <c r="O33" s="3336">
        <f>IF(Q34&gt;0,N34,"NA")</f>
        <v>0</v>
      </c>
      <c r="P33" s="201">
        <f>P34</f>
        <v>136350000</v>
      </c>
      <c r="Q33" s="367">
        <f>Q34</f>
        <v>136350000</v>
      </c>
      <c r="R33" s="1464">
        <f>R34</f>
        <v>0</v>
      </c>
      <c r="S33" s="1464">
        <f>S34</f>
        <v>0</v>
      </c>
      <c r="T33" s="1464">
        <f t="shared" si="8"/>
        <v>0</v>
      </c>
      <c r="U33" s="1464">
        <f t="shared" si="7"/>
        <v>0</v>
      </c>
      <c r="V33" s="1464"/>
      <c r="W33" s="1464"/>
      <c r="X33" s="27"/>
      <c r="Y33" s="27"/>
      <c r="Z33" s="27"/>
    </row>
    <row r="34" spans="1:26" ht="378" customHeight="1">
      <c r="A34" s="3260"/>
      <c r="B34" s="3335"/>
      <c r="C34" s="3334"/>
      <c r="D34" s="3231"/>
      <c r="E34" s="331" t="s">
        <v>4392</v>
      </c>
      <c r="F34" s="294"/>
      <c r="G34" s="285" t="s">
        <v>4386</v>
      </c>
      <c r="H34" s="294">
        <v>1</v>
      </c>
      <c r="I34" s="331" t="s">
        <v>434</v>
      </c>
      <c r="J34" s="331" t="s">
        <v>156</v>
      </c>
      <c r="K34" s="332">
        <v>1</v>
      </c>
      <c r="L34" s="804">
        <v>1</v>
      </c>
      <c r="M34" s="485">
        <v>0</v>
      </c>
      <c r="N34" s="195">
        <v>0</v>
      </c>
      <c r="O34" s="3337"/>
      <c r="P34" s="201">
        <v>136350000</v>
      </c>
      <c r="Q34" s="367">
        <v>136350000</v>
      </c>
      <c r="R34" s="1464">
        <v>0</v>
      </c>
      <c r="S34" s="1464">
        <v>0</v>
      </c>
      <c r="T34" s="1464">
        <f t="shared" si="8"/>
        <v>0</v>
      </c>
      <c r="U34" s="1464">
        <f t="shared" si="7"/>
        <v>0</v>
      </c>
      <c r="V34" s="1464"/>
      <c r="W34" s="1464"/>
      <c r="X34" s="27"/>
      <c r="Y34" s="27"/>
      <c r="Z34" s="27"/>
    </row>
    <row r="35" spans="1:26" ht="16.5" customHeight="1">
      <c r="A35" s="278"/>
      <c r="B35" s="805">
        <v>51030010012</v>
      </c>
      <c r="C35" s="330" t="s">
        <v>103</v>
      </c>
      <c r="D35" s="329" t="s">
        <v>4393</v>
      </c>
      <c r="E35" s="329"/>
      <c r="F35" s="1871">
        <f>F36+F38</f>
        <v>4</v>
      </c>
      <c r="G35" s="332"/>
      <c r="H35" s="613"/>
      <c r="I35" s="331"/>
      <c r="J35" s="332"/>
      <c r="K35" s="332"/>
      <c r="L35" s="803"/>
      <c r="M35" s="353"/>
      <c r="N35" s="353"/>
      <c r="O35" s="362"/>
      <c r="P35" s="182"/>
      <c r="Q35" s="1464"/>
      <c r="R35" s="1464"/>
      <c r="S35" s="1464"/>
      <c r="T35" s="1464"/>
      <c r="U35" s="1464"/>
      <c r="V35" s="1464"/>
      <c r="W35" s="1464"/>
      <c r="X35" s="27"/>
      <c r="Y35" s="27"/>
      <c r="Z35" s="27"/>
    </row>
    <row r="36" spans="1:26" ht="16.5" customHeight="1">
      <c r="A36" s="3260">
        <v>4172</v>
      </c>
      <c r="B36" s="3333"/>
      <c r="C36" s="3334" t="s">
        <v>109</v>
      </c>
      <c r="D36" s="3231" t="s">
        <v>4394</v>
      </c>
      <c r="E36" s="331" t="s">
        <v>4395</v>
      </c>
      <c r="F36" s="294">
        <v>3</v>
      </c>
      <c r="G36" s="332"/>
      <c r="H36" s="613"/>
      <c r="I36" s="331"/>
      <c r="J36" s="332"/>
      <c r="K36" s="332">
        <f>+K37</f>
        <v>3</v>
      </c>
      <c r="L36" s="804">
        <f>SUM(L37)</f>
        <v>1</v>
      </c>
      <c r="M36" s="485">
        <f>M37</f>
        <v>1</v>
      </c>
      <c r="N36" s="806">
        <f>N37</f>
        <v>0.15</v>
      </c>
      <c r="O36" s="3361">
        <f>IF(Q37&gt;0,N37,"NA")</f>
        <v>0.15</v>
      </c>
      <c r="P36" s="367">
        <f>P37</f>
        <v>1168502824</v>
      </c>
      <c r="Q36" s="367">
        <f>Q37</f>
        <v>1944384874</v>
      </c>
      <c r="R36" s="367">
        <f>R37</f>
        <v>295599000</v>
      </c>
      <c r="S36" s="367">
        <f>S37</f>
        <v>150658500</v>
      </c>
      <c r="T36" s="1872">
        <f t="shared" si="8"/>
        <v>0.15202700039107586</v>
      </c>
      <c r="U36" s="1872">
        <f t="shared" si="7"/>
        <v>0.50967188657607099</v>
      </c>
      <c r="V36" s="1464"/>
      <c r="W36" s="1873"/>
      <c r="X36" s="27"/>
      <c r="Y36" s="27"/>
      <c r="Z36" s="27"/>
    </row>
    <row r="37" spans="1:26" ht="54" customHeight="1">
      <c r="A37" s="3260"/>
      <c r="B37" s="3333"/>
      <c r="C37" s="3334"/>
      <c r="D37" s="3231"/>
      <c r="E37" s="331" t="s">
        <v>4396</v>
      </c>
      <c r="F37" s="294"/>
      <c r="G37" s="331" t="s">
        <v>4393</v>
      </c>
      <c r="H37" s="294">
        <v>3</v>
      </c>
      <c r="I37" s="331" t="s">
        <v>4397</v>
      </c>
      <c r="J37" s="331" t="s">
        <v>4398</v>
      </c>
      <c r="K37" s="286">
        <v>3</v>
      </c>
      <c r="L37" s="804">
        <v>1</v>
      </c>
      <c r="M37" s="485">
        <v>1</v>
      </c>
      <c r="N37" s="358">
        <v>0.15</v>
      </c>
      <c r="O37" s="3362"/>
      <c r="P37" s="201">
        <v>1168502824</v>
      </c>
      <c r="Q37" s="367">
        <v>1944384874</v>
      </c>
      <c r="R37" s="367">
        <v>295599000</v>
      </c>
      <c r="S37" s="367">
        <v>150658500</v>
      </c>
      <c r="T37" s="1872">
        <f t="shared" si="8"/>
        <v>0.15202700039107586</v>
      </c>
      <c r="U37" s="1872">
        <f t="shared" si="7"/>
        <v>0.50967188657607099</v>
      </c>
      <c r="V37" s="1763">
        <v>45306</v>
      </c>
      <c r="W37" s="293">
        <v>45657</v>
      </c>
      <c r="X37" s="1874" t="s">
        <v>5699</v>
      </c>
      <c r="Y37" s="1875" t="s">
        <v>60</v>
      </c>
      <c r="Z37" s="27"/>
    </row>
    <row r="38" spans="1:26">
      <c r="A38" s="3262">
        <v>4172</v>
      </c>
      <c r="B38" s="3363"/>
      <c r="C38" s="3365" t="s">
        <v>109</v>
      </c>
      <c r="D38" s="3367" t="s">
        <v>5700</v>
      </c>
      <c r="E38" s="331" t="s">
        <v>5701</v>
      </c>
      <c r="F38" s="294">
        <v>1</v>
      </c>
      <c r="G38" s="331"/>
      <c r="H38" s="294"/>
      <c r="I38" s="331"/>
      <c r="J38" s="331"/>
      <c r="K38" s="286"/>
      <c r="L38" s="804"/>
      <c r="M38" s="485">
        <f>M39</f>
        <v>0</v>
      </c>
      <c r="N38" s="358"/>
      <c r="O38" s="27"/>
      <c r="P38" s="201">
        <f>P39</f>
        <v>0</v>
      </c>
      <c r="Q38" s="367">
        <f>Q39</f>
        <v>10500000000</v>
      </c>
      <c r="R38" s="367">
        <f>R39</f>
        <v>0</v>
      </c>
      <c r="S38" s="367">
        <f>S39</f>
        <v>0</v>
      </c>
      <c r="T38" s="1872">
        <f t="shared" si="8"/>
        <v>0</v>
      </c>
      <c r="U38" s="1872">
        <f t="shared" si="7"/>
        <v>0</v>
      </c>
      <c r="V38" s="1876"/>
      <c r="W38" s="1877"/>
      <c r="X38" s="1878"/>
      <c r="Y38" s="121"/>
      <c r="Z38" s="27"/>
    </row>
    <row r="39" spans="1:26" ht="40.5">
      <c r="A39" s="3264"/>
      <c r="B39" s="3364"/>
      <c r="C39" s="3366"/>
      <c r="D39" s="3368"/>
      <c r="E39" s="331" t="s">
        <v>5702</v>
      </c>
      <c r="F39" s="294"/>
      <c r="G39" s="331" t="s">
        <v>4393</v>
      </c>
      <c r="H39" s="294">
        <v>1</v>
      </c>
      <c r="I39" s="331" t="s">
        <v>5703</v>
      </c>
      <c r="J39" s="331" t="s">
        <v>4398</v>
      </c>
      <c r="K39" s="286">
        <v>1</v>
      </c>
      <c r="L39" s="804">
        <v>1</v>
      </c>
      <c r="M39" s="485">
        <v>0</v>
      </c>
      <c r="N39" s="358">
        <v>0</v>
      </c>
      <c r="O39" s="1879">
        <f>IF(Q39&gt;0,N39,"NA")</f>
        <v>0</v>
      </c>
      <c r="P39" s="201">
        <v>0</v>
      </c>
      <c r="Q39" s="367">
        <v>10500000000</v>
      </c>
      <c r="R39" s="367">
        <v>0</v>
      </c>
      <c r="S39" s="367">
        <v>0</v>
      </c>
      <c r="T39" s="1872">
        <f t="shared" si="8"/>
        <v>0</v>
      </c>
      <c r="U39" s="1872">
        <f t="shared" si="7"/>
        <v>0</v>
      </c>
      <c r="V39" s="1876"/>
      <c r="W39" s="1877"/>
      <c r="X39" s="1878"/>
      <c r="Y39" s="121"/>
      <c r="Z39" s="27"/>
    </row>
    <row r="40" spans="1:26">
      <c r="A40" s="294"/>
      <c r="B40" s="805">
        <v>51030010016</v>
      </c>
      <c r="C40" s="294" t="s">
        <v>103</v>
      </c>
      <c r="D40" s="329" t="s">
        <v>4399</v>
      </c>
      <c r="E40" s="331"/>
      <c r="F40" s="294">
        <v>4</v>
      </c>
      <c r="G40" s="285"/>
      <c r="H40" s="294"/>
      <c r="I40" s="331"/>
      <c r="J40" s="331"/>
      <c r="K40" s="332"/>
      <c r="L40" s="803"/>
      <c r="M40" s="353"/>
      <c r="N40" s="362"/>
      <c r="O40" s="362"/>
      <c r="P40" s="201"/>
      <c r="Q40" s="367"/>
      <c r="R40" s="367"/>
      <c r="S40" s="367"/>
      <c r="T40" s="1464"/>
      <c r="U40" s="1464"/>
      <c r="V40" s="1880"/>
      <c r="W40" s="1464"/>
      <c r="X40" s="27"/>
      <c r="Y40" s="27"/>
      <c r="Z40" s="27"/>
    </row>
    <row r="41" spans="1:26">
      <c r="A41" s="3260">
        <v>4172</v>
      </c>
      <c r="B41" s="3333"/>
      <c r="C41" s="3260" t="s">
        <v>109</v>
      </c>
      <c r="D41" s="3231" t="s">
        <v>4400</v>
      </c>
      <c r="E41" s="331" t="s">
        <v>4401</v>
      </c>
      <c r="F41" s="294"/>
      <c r="G41" s="285"/>
      <c r="H41" s="294"/>
      <c r="I41" s="331"/>
      <c r="J41" s="331"/>
      <c r="K41" s="332">
        <f>+K42</f>
        <v>4</v>
      </c>
      <c r="L41" s="804">
        <f>SUM(L42)</f>
        <v>1</v>
      </c>
      <c r="M41" s="1881">
        <f>M42</f>
        <v>1</v>
      </c>
      <c r="N41" s="806"/>
      <c r="O41" s="3336">
        <f>IF(Q42&gt;0,N42,"NA")</f>
        <v>0.3664</v>
      </c>
      <c r="P41" s="201">
        <f>P42</f>
        <v>3954148450</v>
      </c>
      <c r="Q41" s="367">
        <f>Q42</f>
        <v>3954148450</v>
      </c>
      <c r="R41" s="367">
        <f>R42</f>
        <v>2514723854</v>
      </c>
      <c r="S41" s="367">
        <f>S42</f>
        <v>625294133</v>
      </c>
      <c r="T41" s="1872">
        <f t="shared" si="8"/>
        <v>0.63597102784545179</v>
      </c>
      <c r="U41" s="1872">
        <f t="shared" si="7"/>
        <v>0.24865319983559514</v>
      </c>
      <c r="V41" s="1464"/>
      <c r="W41" s="1464"/>
      <c r="X41" s="27"/>
      <c r="Y41" s="27"/>
      <c r="Z41" s="27"/>
    </row>
    <row r="42" spans="1:26" ht="391.5">
      <c r="A42" s="3260"/>
      <c r="B42" s="3333"/>
      <c r="C42" s="3260"/>
      <c r="D42" s="3231"/>
      <c r="E42" s="331" t="s">
        <v>4402</v>
      </c>
      <c r="F42" s="294"/>
      <c r="G42" s="331" t="s">
        <v>4399</v>
      </c>
      <c r="H42" s="294">
        <v>4</v>
      </c>
      <c r="I42" s="331" t="s">
        <v>4403</v>
      </c>
      <c r="J42" s="331" t="s">
        <v>4404</v>
      </c>
      <c r="K42" s="332">
        <v>4</v>
      </c>
      <c r="L42" s="804">
        <v>1</v>
      </c>
      <c r="M42" s="485">
        <v>1</v>
      </c>
      <c r="N42" s="362">
        <v>0.3664</v>
      </c>
      <c r="O42" s="3337"/>
      <c r="P42" s="201">
        <v>3954148450</v>
      </c>
      <c r="Q42" s="367">
        <v>3954148450</v>
      </c>
      <c r="R42" s="367">
        <v>2514723854</v>
      </c>
      <c r="S42" s="367">
        <v>625294133</v>
      </c>
      <c r="T42" s="1872">
        <f t="shared" si="8"/>
        <v>0.63597102784545179</v>
      </c>
      <c r="U42" s="1872">
        <f t="shared" si="7"/>
        <v>0.24865319983559514</v>
      </c>
      <c r="V42" s="359">
        <v>45306</v>
      </c>
      <c r="W42" s="359">
        <v>45657</v>
      </c>
      <c r="X42" s="1882" t="s">
        <v>5704</v>
      </c>
      <c r="Y42" s="1875" t="s">
        <v>60</v>
      </c>
      <c r="Z42" s="27"/>
    </row>
    <row r="43" spans="1:26" ht="14.45" customHeight="1">
      <c r="A43" s="278"/>
      <c r="B43" s="278">
        <v>51030010024</v>
      </c>
      <c r="C43" s="278" t="s">
        <v>103</v>
      </c>
      <c r="D43" s="329" t="s">
        <v>4405</v>
      </c>
      <c r="E43" s="329"/>
      <c r="F43" s="294">
        <v>1</v>
      </c>
      <c r="G43" s="285"/>
      <c r="H43" s="294"/>
      <c r="I43" s="285"/>
      <c r="J43" s="285"/>
      <c r="K43" s="333"/>
      <c r="L43" s="803"/>
      <c r="M43" s="353"/>
      <c r="N43" s="362"/>
      <c r="O43" s="362"/>
      <c r="P43" s="201"/>
      <c r="Q43" s="367"/>
      <c r="R43" s="367"/>
      <c r="S43" s="367"/>
      <c r="T43" s="1464"/>
      <c r="U43" s="1464"/>
      <c r="V43" s="1880"/>
      <c r="W43" s="1880"/>
      <c r="X43" s="27"/>
      <c r="Y43" s="27"/>
      <c r="Z43" s="27"/>
    </row>
    <row r="44" spans="1:26" ht="108" customHeight="1">
      <c r="A44" s="3262">
        <v>4172</v>
      </c>
      <c r="B44" s="3378"/>
      <c r="C44" s="3262" t="s">
        <v>109</v>
      </c>
      <c r="D44" s="3367" t="s">
        <v>4406</v>
      </c>
      <c r="E44" s="331" t="s">
        <v>4407</v>
      </c>
      <c r="F44" s="294"/>
      <c r="G44" s="285"/>
      <c r="H44" s="294"/>
      <c r="I44" s="285"/>
      <c r="J44" s="285"/>
      <c r="K44" s="286">
        <f>SUM(K45:K46)</f>
        <v>340</v>
      </c>
      <c r="L44" s="804">
        <f>SUM(L45:L46)</f>
        <v>1</v>
      </c>
      <c r="M44" s="485">
        <f>M45+M46</f>
        <v>0</v>
      </c>
      <c r="N44" s="807">
        <f>SUM(N45:N46)</f>
        <v>0.2142</v>
      </c>
      <c r="O44" s="3382">
        <f>IF(Q44&gt;0,N44,"NA")</f>
        <v>0.2142</v>
      </c>
      <c r="P44" s="1883">
        <f>P45+P46</f>
        <v>612165500</v>
      </c>
      <c r="Q44" s="367">
        <f>Q45+Q46</f>
        <v>836283450</v>
      </c>
      <c r="R44" s="367">
        <f>SUM(R45:R46)</f>
        <v>742278455</v>
      </c>
      <c r="S44" s="367">
        <f>SUM(S45:S46)</f>
        <v>107385000</v>
      </c>
      <c r="T44" s="1872">
        <f t="shared" si="8"/>
        <v>0.88759194624741167</v>
      </c>
      <c r="U44" s="1872">
        <f t="shared" si="7"/>
        <v>0.14466942867148153</v>
      </c>
      <c r="V44" s="1873"/>
      <c r="W44" s="1464"/>
      <c r="X44" s="27"/>
      <c r="Y44" s="27"/>
      <c r="Z44" s="27"/>
    </row>
    <row r="45" spans="1:26" ht="54">
      <c r="A45" s="3264"/>
      <c r="B45" s="3379"/>
      <c r="C45" s="3263"/>
      <c r="D45" s="3381"/>
      <c r="E45" s="331" t="s">
        <v>4408</v>
      </c>
      <c r="F45" s="294"/>
      <c r="G45" s="3265" t="s">
        <v>4405</v>
      </c>
      <c r="H45" s="3262">
        <v>1</v>
      </c>
      <c r="I45" s="285" t="s">
        <v>4409</v>
      </c>
      <c r="J45" s="285" t="s">
        <v>2510</v>
      </c>
      <c r="K45" s="1884">
        <v>30</v>
      </c>
      <c r="L45" s="804">
        <v>0.5</v>
      </c>
      <c r="M45" s="485">
        <v>0</v>
      </c>
      <c r="N45" s="358">
        <v>7.1400000000000005E-2</v>
      </c>
      <c r="O45" s="3383"/>
      <c r="P45" s="1885">
        <v>145297500</v>
      </c>
      <c r="Q45" s="1885">
        <v>275577500</v>
      </c>
      <c r="R45" s="367">
        <v>261299931</v>
      </c>
      <c r="S45" s="367">
        <v>0</v>
      </c>
      <c r="T45" s="1872">
        <f t="shared" si="8"/>
        <v>0.94819036750097518</v>
      </c>
      <c r="U45" s="1872">
        <f t="shared" si="7"/>
        <v>0</v>
      </c>
      <c r="V45" s="3369">
        <v>45306</v>
      </c>
      <c r="W45" s="3371">
        <v>45657</v>
      </c>
      <c r="X45" s="3373" t="s">
        <v>5705</v>
      </c>
      <c r="Y45" s="2853" t="s">
        <v>4410</v>
      </c>
      <c r="Z45" s="27"/>
    </row>
    <row r="46" spans="1:26" s="45" customFormat="1" ht="40.5">
      <c r="A46" s="1752"/>
      <c r="B46" s="3380"/>
      <c r="C46" s="3264"/>
      <c r="D46" s="3368"/>
      <c r="E46" s="331" t="s">
        <v>4411</v>
      </c>
      <c r="F46" s="294"/>
      <c r="G46" s="3267"/>
      <c r="H46" s="3264"/>
      <c r="I46" s="285" t="s">
        <v>4412</v>
      </c>
      <c r="J46" s="285" t="s">
        <v>106</v>
      </c>
      <c r="K46" s="1884">
        <v>310</v>
      </c>
      <c r="L46" s="804">
        <v>0.5</v>
      </c>
      <c r="M46" s="485">
        <v>0</v>
      </c>
      <c r="N46" s="358">
        <v>0.14280000000000001</v>
      </c>
      <c r="O46" s="3384"/>
      <c r="P46" s="1886">
        <v>466868000</v>
      </c>
      <c r="Q46" s="1886">
        <v>560705950</v>
      </c>
      <c r="R46" s="367">
        <v>480978524</v>
      </c>
      <c r="S46" s="367">
        <v>107385000</v>
      </c>
      <c r="T46" s="1872">
        <f t="shared" si="8"/>
        <v>0.85780884615189124</v>
      </c>
      <c r="U46" s="1872">
        <f t="shared" si="7"/>
        <v>0.22326360667196857</v>
      </c>
      <c r="V46" s="3370"/>
      <c r="W46" s="3372"/>
      <c r="X46" s="3374"/>
      <c r="Y46" s="3375"/>
      <c r="Z46" s="27"/>
    </row>
    <row r="47" spans="1:26" s="45" customFormat="1">
      <c r="A47" s="339"/>
      <c r="B47" s="808">
        <v>54</v>
      </c>
      <c r="C47" s="808" t="s">
        <v>100</v>
      </c>
      <c r="D47" s="809" t="s">
        <v>187</v>
      </c>
      <c r="E47" s="810"/>
      <c r="F47" s="294"/>
      <c r="G47" s="332"/>
      <c r="H47" s="613"/>
      <c r="I47" s="332"/>
      <c r="J47" s="294"/>
      <c r="K47" s="332"/>
      <c r="L47" s="194"/>
      <c r="M47" s="353"/>
      <c r="N47" s="362"/>
      <c r="O47" s="362"/>
      <c r="P47" s="182"/>
      <c r="Q47" s="1464"/>
      <c r="R47" s="1464"/>
      <c r="S47" s="1464"/>
      <c r="T47" s="1464"/>
      <c r="U47" s="1464"/>
      <c r="V47" s="1880"/>
      <c r="W47" s="1464"/>
      <c r="X47" s="27"/>
      <c r="Y47" s="27"/>
      <c r="Z47" s="27"/>
    </row>
    <row r="48" spans="1:26">
      <c r="A48" s="339"/>
      <c r="B48" s="339">
        <v>5402</v>
      </c>
      <c r="C48" s="339" t="s">
        <v>101</v>
      </c>
      <c r="D48" s="811" t="s">
        <v>104</v>
      </c>
      <c r="E48" s="810"/>
      <c r="F48" s="294"/>
      <c r="G48" s="332"/>
      <c r="H48" s="613"/>
      <c r="I48" s="332"/>
      <c r="J48" s="294"/>
      <c r="K48" s="332"/>
      <c r="L48" s="194"/>
      <c r="M48" s="353"/>
      <c r="N48" s="362"/>
      <c r="O48" s="362"/>
      <c r="P48" s="182"/>
      <c r="Q48" s="1464"/>
      <c r="R48" s="1464"/>
      <c r="S48" s="1464"/>
      <c r="T48" s="1464"/>
      <c r="U48" s="1464"/>
      <c r="V48" s="1464"/>
      <c r="W48" s="1464"/>
      <c r="X48" s="27"/>
      <c r="Y48" s="27"/>
      <c r="Z48" s="27"/>
    </row>
    <row r="49" spans="1:26" ht="33">
      <c r="A49" s="341"/>
      <c r="B49" s="341">
        <v>5402002</v>
      </c>
      <c r="C49" s="341" t="s">
        <v>102</v>
      </c>
      <c r="D49" s="812" t="s">
        <v>527</v>
      </c>
      <c r="E49" s="813"/>
      <c r="F49" s="294"/>
      <c r="G49" s="332"/>
      <c r="H49" s="613"/>
      <c r="I49" s="332"/>
      <c r="J49" s="294"/>
      <c r="K49" s="332"/>
      <c r="L49" s="194"/>
      <c r="M49" s="353"/>
      <c r="N49" s="362"/>
      <c r="O49" s="362"/>
      <c r="P49" s="182"/>
      <c r="Q49" s="1464"/>
      <c r="R49" s="1464"/>
      <c r="S49" s="1464"/>
      <c r="T49" s="1464"/>
      <c r="U49" s="1464"/>
      <c r="V49" s="1464"/>
      <c r="W49" s="1464"/>
      <c r="X49" s="27"/>
      <c r="Y49" s="27"/>
      <c r="Z49" s="27"/>
    </row>
    <row r="50" spans="1:26">
      <c r="A50" s="294"/>
      <c r="B50" s="278">
        <v>54020020012</v>
      </c>
      <c r="C50" s="278" t="s">
        <v>103</v>
      </c>
      <c r="D50" s="814" t="s">
        <v>4413</v>
      </c>
      <c r="E50" s="329"/>
      <c r="F50" s="294">
        <v>4</v>
      </c>
      <c r="G50" s="285"/>
      <c r="H50" s="815"/>
      <c r="I50" s="285"/>
      <c r="J50" s="285"/>
      <c r="K50" s="332"/>
      <c r="L50" s="194"/>
      <c r="M50" s="353"/>
      <c r="N50" s="362"/>
      <c r="O50" s="362"/>
      <c r="P50" s="182"/>
      <c r="Q50" s="1464"/>
      <c r="R50" s="1464"/>
      <c r="S50" s="1464"/>
      <c r="T50" s="1464"/>
      <c r="U50" s="1464"/>
      <c r="V50" s="1464"/>
      <c r="W50" s="1464"/>
      <c r="X50" s="27"/>
      <c r="Y50" s="27"/>
      <c r="Z50" s="27"/>
    </row>
    <row r="51" spans="1:26">
      <c r="A51" s="3260">
        <v>4172</v>
      </c>
      <c r="B51" s="3376"/>
      <c r="C51" s="3260" t="s">
        <v>109</v>
      </c>
      <c r="D51" s="3377" t="s">
        <v>4414</v>
      </c>
      <c r="E51" s="331" t="s">
        <v>4415</v>
      </c>
      <c r="F51" s="294"/>
      <c r="G51" s="285"/>
      <c r="H51" s="815"/>
      <c r="I51" s="285"/>
      <c r="J51" s="285"/>
      <c r="K51" s="286">
        <f>SUM(K52)</f>
        <v>1</v>
      </c>
      <c r="L51" s="816">
        <f>SUM(L52)</f>
        <v>1</v>
      </c>
      <c r="M51" s="1887">
        <f>M52</f>
        <v>0</v>
      </c>
      <c r="N51" s="807">
        <f>N52</f>
        <v>0.15</v>
      </c>
      <c r="O51" s="3361">
        <f>IF(Q52&gt;0,N52,"NA")</f>
        <v>0.15</v>
      </c>
      <c r="P51" s="201">
        <f>P52</f>
        <v>1127258400</v>
      </c>
      <c r="Q51" s="367">
        <f>Q52</f>
        <v>1127258400</v>
      </c>
      <c r="R51" s="367">
        <f>R52</f>
        <v>847890952</v>
      </c>
      <c r="S51" s="367">
        <f>S52</f>
        <v>412223000</v>
      </c>
      <c r="T51" s="1872">
        <f t="shared" si="8"/>
        <v>0.75217088823645051</v>
      </c>
      <c r="U51" s="1872">
        <f t="shared" si="7"/>
        <v>0.48617454759677636</v>
      </c>
      <c r="V51" s="1464"/>
      <c r="W51" s="1464"/>
      <c r="X51" s="27"/>
      <c r="Y51" s="27"/>
      <c r="Z51" s="27"/>
    </row>
    <row r="52" spans="1:26" ht="67.5">
      <c r="A52" s="3260"/>
      <c r="B52" s="3376"/>
      <c r="C52" s="3260"/>
      <c r="D52" s="3377"/>
      <c r="E52" s="1888" t="s">
        <v>4416</v>
      </c>
      <c r="F52" s="1888"/>
      <c r="G52" s="1888" t="s">
        <v>4413</v>
      </c>
      <c r="H52" s="1889">
        <v>2</v>
      </c>
      <c r="I52" s="1888" t="s">
        <v>4417</v>
      </c>
      <c r="J52" s="1888" t="s">
        <v>4418</v>
      </c>
      <c r="K52" s="947">
        <v>1</v>
      </c>
      <c r="L52" s="1890">
        <v>1</v>
      </c>
      <c r="M52" s="1887">
        <v>0</v>
      </c>
      <c r="N52" s="1891">
        <v>0.15</v>
      </c>
      <c r="O52" s="3362"/>
      <c r="P52" s="1892">
        <v>1127258400</v>
      </c>
      <c r="Q52" s="1892">
        <v>1127258400</v>
      </c>
      <c r="R52" s="1893">
        <v>847890952</v>
      </c>
      <c r="S52" s="1894">
        <v>412223000</v>
      </c>
      <c r="T52" s="1895">
        <f t="shared" si="8"/>
        <v>0.75217088823645051</v>
      </c>
      <c r="U52" s="1895">
        <f t="shared" si="7"/>
        <v>0.48617454759677636</v>
      </c>
      <c r="V52" s="1896">
        <v>45306</v>
      </c>
      <c r="W52" s="293">
        <v>45657</v>
      </c>
      <c r="X52" s="1897" t="s">
        <v>5706</v>
      </c>
      <c r="Y52" s="1898" t="s">
        <v>60</v>
      </c>
      <c r="Z52" s="1899"/>
    </row>
    <row r="53" spans="1:26">
      <c r="A53" s="818"/>
      <c r="B53" s="820"/>
      <c r="C53" s="818"/>
      <c r="D53" s="820"/>
      <c r="E53" s="820"/>
      <c r="F53" s="820"/>
      <c r="G53" s="820"/>
      <c r="H53" s="818"/>
      <c r="I53" s="820"/>
      <c r="J53" s="818"/>
      <c r="K53" s="825"/>
      <c r="L53" s="826"/>
      <c r="M53" s="1252"/>
      <c r="N53" s="622"/>
      <c r="O53" s="828"/>
      <c r="P53" s="821"/>
      <c r="Q53" s="823"/>
      <c r="R53" s="829"/>
      <c r="S53" s="829"/>
      <c r="T53" s="622"/>
      <c r="U53" s="821"/>
      <c r="V53" s="830"/>
      <c r="W53" s="822"/>
      <c r="X53" s="831"/>
      <c r="Y53" s="819"/>
      <c r="Z53" s="1900"/>
    </row>
    <row r="54" spans="1:26">
      <c r="A54" s="1901"/>
      <c r="B54" s="821" t="s">
        <v>36</v>
      </c>
      <c r="C54" s="1901">
        <f>COUNTIF(C7:C52,"Pr")</f>
        <v>13</v>
      </c>
      <c r="D54" s="821"/>
      <c r="E54" s="821" t="s">
        <v>112</v>
      </c>
      <c r="F54" s="821"/>
      <c r="G54" s="821">
        <f>COUNTIF(O10:O23,"na")</f>
        <v>0</v>
      </c>
      <c r="H54" s="1901"/>
      <c r="I54" s="821"/>
      <c r="J54" s="1901"/>
      <c r="K54" s="1902"/>
      <c r="L54" s="1903"/>
      <c r="M54" s="1252"/>
      <c r="N54" s="622" t="s">
        <v>503</v>
      </c>
      <c r="O54" s="828">
        <f>+AVERAGE(O10:O52)</f>
        <v>9.7585714285714276E-2</v>
      </c>
      <c r="P54" s="1904">
        <f>P11+P18+P22+P29+P31+P33+P36+P41+P44+P51</f>
        <v>12681900000</v>
      </c>
      <c r="Q54" s="1904">
        <f>Q11+Q20+Q22+Q24+Q26+Q29+Q31+Q33+Q36+Q38+Q41+Q44+Q51</f>
        <v>24376667550</v>
      </c>
      <c r="R54" s="1904">
        <f>R11+R18+R22+R29+R31+R33+R36+R41+R44+R51</f>
        <v>6387915201</v>
      </c>
      <c r="S54" s="1904">
        <f>S11+S18+S22+S29+S31+S33+S36+S41+S44+S51</f>
        <v>2178961133</v>
      </c>
      <c r="T54" s="832">
        <f t="shared" ref="T54:U54" si="9">+IF(Q54=0,0,R54/Q54)</f>
        <v>0.26205038846665485</v>
      </c>
      <c r="U54" s="833">
        <f t="shared" si="9"/>
        <v>0.3411067718398787</v>
      </c>
      <c r="V54" s="830"/>
      <c r="W54" s="822"/>
      <c r="X54" s="1905"/>
      <c r="Y54" s="1906"/>
      <c r="Z54" s="1907"/>
    </row>
    <row r="55" spans="1:26">
      <c r="A55" s="824"/>
      <c r="B55" s="834"/>
      <c r="C55" s="824"/>
      <c r="D55" s="834"/>
      <c r="E55" s="834"/>
      <c r="F55" s="834"/>
      <c r="G55" s="834"/>
      <c r="H55" s="824"/>
      <c r="I55" s="834"/>
      <c r="J55" s="824"/>
      <c r="K55" s="561"/>
      <c r="L55" s="835"/>
      <c r="M55" s="1252" t="s">
        <v>4419</v>
      </c>
      <c r="N55" s="827"/>
      <c r="O55" s="824">
        <f>COUNTIF(O11:O52,"=0%")</f>
        <v>7</v>
      </c>
      <c r="P55" s="1904">
        <v>12681900000</v>
      </c>
      <c r="Q55" s="1904">
        <v>24376667550</v>
      </c>
      <c r="R55" s="1904">
        <v>6387915201</v>
      </c>
      <c r="S55" s="1904">
        <v>2178961133</v>
      </c>
      <c r="T55" s="1908"/>
      <c r="U55" s="834"/>
      <c r="V55" s="836"/>
      <c r="W55" s="562"/>
      <c r="X55" s="831"/>
      <c r="Y55" s="817"/>
      <c r="Z55" s="1900"/>
    </row>
  </sheetData>
  <mergeCells count="140">
    <mergeCell ref="V45:V46"/>
    <mergeCell ref="W45:W46"/>
    <mergeCell ref="X45:X46"/>
    <mergeCell ref="Y45:Y46"/>
    <mergeCell ref="A51:A52"/>
    <mergeCell ref="B51:B52"/>
    <mergeCell ref="C51:C52"/>
    <mergeCell ref="D51:D52"/>
    <mergeCell ref="O51:O52"/>
    <mergeCell ref="A44:A45"/>
    <mergeCell ref="B44:B46"/>
    <mergeCell ref="C44:C46"/>
    <mergeCell ref="D44:D46"/>
    <mergeCell ref="O44:O46"/>
    <mergeCell ref="G45:G46"/>
    <mergeCell ref="H45:H46"/>
    <mergeCell ref="A41:A42"/>
    <mergeCell ref="B41:B42"/>
    <mergeCell ref="C41:C42"/>
    <mergeCell ref="D41:D42"/>
    <mergeCell ref="O41:O42"/>
    <mergeCell ref="O36:O37"/>
    <mergeCell ref="A38:A39"/>
    <mergeCell ref="B38:B39"/>
    <mergeCell ref="C38:C39"/>
    <mergeCell ref="D38:D39"/>
    <mergeCell ref="V26:V27"/>
    <mergeCell ref="W26:W27"/>
    <mergeCell ref="X26:X27"/>
    <mergeCell ref="Y26:Y27"/>
    <mergeCell ref="A29:A30"/>
    <mergeCell ref="B29:B30"/>
    <mergeCell ref="C29:C30"/>
    <mergeCell ref="D29:D30"/>
    <mergeCell ref="O29:O30"/>
    <mergeCell ref="V22:V23"/>
    <mergeCell ref="W22:W23"/>
    <mergeCell ref="X22:X23"/>
    <mergeCell ref="Y22:Y23"/>
    <mergeCell ref="A24:A25"/>
    <mergeCell ref="B24:B25"/>
    <mergeCell ref="C24:C25"/>
    <mergeCell ref="D24:D25"/>
    <mergeCell ref="O24:O25"/>
    <mergeCell ref="V24:V25"/>
    <mergeCell ref="W24:W25"/>
    <mergeCell ref="X24:X25"/>
    <mergeCell ref="Y24:Y25"/>
    <mergeCell ref="O22:O23"/>
    <mergeCell ref="Y11:Y14"/>
    <mergeCell ref="E12:E14"/>
    <mergeCell ref="F12:F14"/>
    <mergeCell ref="G12:G14"/>
    <mergeCell ref="H12:H14"/>
    <mergeCell ref="I12:I14"/>
    <mergeCell ref="J12:J14"/>
    <mergeCell ref="K12:K14"/>
    <mergeCell ref="L12:L14"/>
    <mergeCell ref="M12:M14"/>
    <mergeCell ref="N12:N14"/>
    <mergeCell ref="O12:O14"/>
    <mergeCell ref="P12:P14"/>
    <mergeCell ref="Y18:Y20"/>
    <mergeCell ref="A36:A37"/>
    <mergeCell ref="B36:B37"/>
    <mergeCell ref="C36:C37"/>
    <mergeCell ref="D36:D37"/>
    <mergeCell ref="A33:A34"/>
    <mergeCell ref="B33:B34"/>
    <mergeCell ref="C33:C34"/>
    <mergeCell ref="D33:D34"/>
    <mergeCell ref="O33:O34"/>
    <mergeCell ref="A31:A32"/>
    <mergeCell ref="B31:B32"/>
    <mergeCell ref="C31:C32"/>
    <mergeCell ref="D31:D32"/>
    <mergeCell ref="O31:O32"/>
    <mergeCell ref="A26:A27"/>
    <mergeCell ref="B26:B27"/>
    <mergeCell ref="C26:C27"/>
    <mergeCell ref="D26:D27"/>
    <mergeCell ref="O26:O27"/>
    <mergeCell ref="A22:A23"/>
    <mergeCell ref="B22:B23"/>
    <mergeCell ref="C22:C23"/>
    <mergeCell ref="D22:D23"/>
    <mergeCell ref="D18:D20"/>
    <mergeCell ref="O18:O20"/>
    <mergeCell ref="G19:G20"/>
    <mergeCell ref="H19:H20"/>
    <mergeCell ref="V18:V20"/>
    <mergeCell ref="W18:W20"/>
    <mergeCell ref="X18:X20"/>
    <mergeCell ref="A11:A14"/>
    <mergeCell ref="B11:B14"/>
    <mergeCell ref="C11:C14"/>
    <mergeCell ref="D11:D14"/>
    <mergeCell ref="A18:A19"/>
    <mergeCell ref="B18:B19"/>
    <mergeCell ref="C18:C19"/>
    <mergeCell ref="V11:V14"/>
    <mergeCell ref="W11:W14"/>
    <mergeCell ref="X11:X14"/>
    <mergeCell ref="A5:A6"/>
    <mergeCell ref="G5:G6"/>
    <mergeCell ref="S3:U3"/>
    <mergeCell ref="F5:F6"/>
    <mergeCell ref="R5:R6"/>
    <mergeCell ref="P5:P6"/>
    <mergeCell ref="Q12:Q14"/>
    <mergeCell ref="R12:R14"/>
    <mergeCell ref="S12:S14"/>
    <mergeCell ref="T12:T14"/>
    <mergeCell ref="U12:U14"/>
    <mergeCell ref="H5:H6"/>
    <mergeCell ref="M5:M6"/>
    <mergeCell ref="E5:E6"/>
    <mergeCell ref="D5:D6"/>
    <mergeCell ref="Y5:Y6"/>
    <mergeCell ref="S5:S6"/>
    <mergeCell ref="W5:W6"/>
    <mergeCell ref="Q5:Q6"/>
    <mergeCell ref="T5:T6"/>
    <mergeCell ref="V5:V6"/>
    <mergeCell ref="A1:X1"/>
    <mergeCell ref="J5:J6"/>
    <mergeCell ref="I5:I6"/>
    <mergeCell ref="N5:N6"/>
    <mergeCell ref="O5:O6"/>
    <mergeCell ref="A4:Y4"/>
    <mergeCell ref="X5:X6"/>
    <mergeCell ref="K5:K6"/>
    <mergeCell ref="A3:B3"/>
    <mergeCell ref="U5:U6"/>
    <mergeCell ref="A2:Y2"/>
    <mergeCell ref="V3:W3"/>
    <mergeCell ref="L5:L6"/>
    <mergeCell ref="B5:B6"/>
    <mergeCell ref="C5:C6"/>
    <mergeCell ref="C3:R3"/>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V57"/>
  <sheetViews>
    <sheetView topLeftCell="A50" zoomScale="80" zoomScaleNormal="80" zoomScaleSheetLayoutView="100" workbookViewId="0">
      <selection activeCell="C55" sqref="C55"/>
    </sheetView>
  </sheetViews>
  <sheetFormatPr baseColWidth="10" defaultColWidth="11.42578125" defaultRowHeight="16.5"/>
  <cols>
    <col min="1" max="1" width="13" style="2" customWidth="1"/>
    <col min="2" max="2" width="11.42578125" style="3" customWidth="1"/>
    <col min="3" max="3" width="8.42578125" style="2" customWidth="1"/>
    <col min="4" max="4" width="27.28515625" style="3" customWidth="1"/>
    <col min="5" max="5" width="14.28515625" style="3" customWidth="1"/>
    <col min="6" max="6" width="12.42578125" style="3" customWidth="1"/>
    <col min="7" max="7" width="22.140625" style="3" customWidth="1"/>
    <col min="8" max="8" width="12.42578125" style="3" customWidth="1"/>
    <col min="9" max="9" width="17.7109375" style="3" customWidth="1"/>
    <col min="10" max="10" width="17.42578125" style="2" customWidth="1"/>
    <col min="11" max="13" width="13.140625" style="16" customWidth="1"/>
    <col min="14" max="14" width="12.7109375" style="3" customWidth="1"/>
    <col min="15" max="15" width="12.140625" style="2" customWidth="1"/>
    <col min="16" max="16" width="17" style="3" customWidth="1"/>
    <col min="17" max="17" width="16" style="3" customWidth="1"/>
    <col min="18" max="18" width="15.85546875" style="3" customWidth="1"/>
    <col min="19" max="19" width="19.28515625" style="3" customWidth="1"/>
    <col min="20" max="21" width="12.7109375" style="3" customWidth="1"/>
    <col min="22" max="23" width="10.7109375" style="3" customWidth="1"/>
    <col min="24" max="24" width="33.85546875" style="3" customWidth="1"/>
    <col min="25" max="25" width="17.140625" style="17" customWidth="1"/>
    <col min="26" max="16384" width="11.42578125" style="3"/>
  </cols>
  <sheetData>
    <row r="1" spans="1:256"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6"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3" spans="1:256" s="25" customFormat="1" ht="24.95" customHeight="1">
      <c r="A3" s="2833" t="s">
        <v>73</v>
      </c>
      <c r="B3" s="2833"/>
      <c r="C3" s="2833" t="s">
        <v>61</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r="5" spans="1:256" ht="53.25" customHeight="1">
      <c r="A5" s="2905" t="s">
        <v>74</v>
      </c>
      <c r="B5" s="3398" t="s">
        <v>4</v>
      </c>
      <c r="C5" s="2905" t="s">
        <v>3</v>
      </c>
      <c r="D5" s="2905" t="s">
        <v>94</v>
      </c>
      <c r="E5" s="2905" t="s">
        <v>2</v>
      </c>
      <c r="F5" s="2905" t="s">
        <v>75</v>
      </c>
      <c r="G5" s="2905" t="s">
        <v>92</v>
      </c>
      <c r="H5" s="2905" t="s">
        <v>93</v>
      </c>
      <c r="I5" s="2905" t="s">
        <v>8</v>
      </c>
      <c r="J5" s="2905" t="s">
        <v>9</v>
      </c>
      <c r="K5" s="2905" t="s">
        <v>10</v>
      </c>
      <c r="L5" s="2905" t="s">
        <v>11</v>
      </c>
      <c r="M5" s="2904" t="s">
        <v>86</v>
      </c>
      <c r="N5" s="2904" t="s">
        <v>12</v>
      </c>
      <c r="O5" s="2904" t="s">
        <v>72</v>
      </c>
      <c r="P5" s="2907" t="s">
        <v>1</v>
      </c>
      <c r="Q5" s="2904" t="s">
        <v>13</v>
      </c>
      <c r="R5" s="2904" t="s">
        <v>14</v>
      </c>
      <c r="S5" s="2904" t="s">
        <v>16</v>
      </c>
      <c r="T5" s="2904" t="s">
        <v>15</v>
      </c>
      <c r="U5" s="2904" t="s">
        <v>89</v>
      </c>
      <c r="V5" s="2907" t="s">
        <v>6</v>
      </c>
      <c r="W5" s="2907" t="s">
        <v>7</v>
      </c>
      <c r="X5" s="2904" t="s">
        <v>0</v>
      </c>
      <c r="Y5" s="2904" t="s">
        <v>76</v>
      </c>
    </row>
    <row r="6" spans="1:256" ht="42.75" customHeight="1">
      <c r="A6" s="2940"/>
      <c r="B6" s="3399"/>
      <c r="C6" s="2940"/>
      <c r="D6" s="2940"/>
      <c r="E6" s="2940"/>
      <c r="F6" s="2940"/>
      <c r="G6" s="2940"/>
      <c r="H6" s="2940"/>
      <c r="I6" s="2940"/>
      <c r="J6" s="2940"/>
      <c r="K6" s="2940"/>
      <c r="L6" s="2940"/>
      <c r="M6" s="2955"/>
      <c r="N6" s="2955"/>
      <c r="O6" s="2955"/>
      <c r="P6" s="2944"/>
      <c r="Q6" s="2955"/>
      <c r="R6" s="2955"/>
      <c r="S6" s="2955"/>
      <c r="T6" s="2955"/>
      <c r="U6" s="2955"/>
      <c r="V6" s="2944"/>
      <c r="W6" s="2944"/>
      <c r="X6" s="2955"/>
      <c r="Y6" s="2955"/>
    </row>
    <row r="7" spans="1:256">
      <c r="A7" s="1909"/>
      <c r="B7" s="1910">
        <v>52</v>
      </c>
      <c r="C7" s="1911" t="s">
        <v>100</v>
      </c>
      <c r="D7" s="1912" t="s">
        <v>148</v>
      </c>
      <c r="E7" s="1911"/>
      <c r="F7" s="1913"/>
      <c r="G7" s="1913"/>
      <c r="H7" s="1913"/>
      <c r="I7" s="1913"/>
      <c r="J7" s="1913"/>
      <c r="K7" s="1914"/>
      <c r="L7" s="1913"/>
      <c r="M7" s="1913"/>
      <c r="N7" s="1913"/>
      <c r="O7" s="1915"/>
      <c r="P7" s="1913"/>
      <c r="Q7" s="1913"/>
      <c r="R7" s="1913"/>
      <c r="S7" s="1913"/>
      <c r="T7" s="1913"/>
      <c r="U7" s="1913"/>
      <c r="V7" s="1913"/>
      <c r="W7" s="1913"/>
      <c r="X7" s="1913"/>
      <c r="Y7" s="1913"/>
    </row>
    <row r="8" spans="1:256">
      <c r="A8" s="1916"/>
      <c r="B8" s="1917">
        <v>5203</v>
      </c>
      <c r="C8" s="1918" t="s">
        <v>101</v>
      </c>
      <c r="D8" s="1919" t="s">
        <v>149</v>
      </c>
      <c r="E8" s="1916"/>
      <c r="F8" s="1920"/>
      <c r="G8" s="1920"/>
      <c r="H8" s="1921"/>
      <c r="I8" s="1920"/>
      <c r="J8" s="1920"/>
      <c r="K8" s="1921"/>
      <c r="L8" s="1920"/>
      <c r="M8" s="1920"/>
      <c r="N8" s="1922"/>
      <c r="O8" s="1923"/>
      <c r="P8" s="1924"/>
      <c r="Q8" s="1920"/>
      <c r="R8" s="1920"/>
      <c r="S8" s="1920"/>
      <c r="T8" s="1920"/>
      <c r="U8" s="1920"/>
      <c r="V8" s="1920"/>
      <c r="W8" s="1920"/>
      <c r="X8" s="1920"/>
      <c r="Y8" s="1920"/>
    </row>
    <row r="9" spans="1:256" ht="33">
      <c r="A9" s="1925"/>
      <c r="B9" s="1926">
        <v>5203008</v>
      </c>
      <c r="C9" s="1927" t="s">
        <v>102</v>
      </c>
      <c r="D9" s="1928" t="s">
        <v>161</v>
      </c>
      <c r="E9" s="1925"/>
      <c r="F9" s="1929"/>
      <c r="G9" s="1929"/>
      <c r="H9" s="1930"/>
      <c r="I9" s="1929"/>
      <c r="J9" s="1929"/>
      <c r="K9" s="1930"/>
      <c r="L9" s="1929"/>
      <c r="M9" s="1929"/>
      <c r="N9" s="1931"/>
      <c r="O9" s="1932"/>
      <c r="P9" s="1933"/>
      <c r="Q9" s="1929"/>
      <c r="R9" s="1929"/>
      <c r="S9" s="1929"/>
      <c r="T9" s="1929"/>
      <c r="U9" s="1929"/>
      <c r="V9" s="1929"/>
      <c r="W9" s="1929"/>
      <c r="X9" s="1929"/>
      <c r="Y9" s="1929"/>
    </row>
    <row r="10" spans="1:256" ht="51">
      <c r="A10" s="1934">
        <v>4173</v>
      </c>
      <c r="B10" s="1935">
        <v>52030080002</v>
      </c>
      <c r="C10" s="1934" t="s">
        <v>103</v>
      </c>
      <c r="D10" s="1936" t="s">
        <v>4420</v>
      </c>
      <c r="E10" s="1937"/>
      <c r="F10" s="1938">
        <v>5</v>
      </c>
      <c r="G10" s="1939"/>
      <c r="H10" s="1940">
        <f>+H12</f>
        <v>0</v>
      </c>
      <c r="I10" s="1941"/>
      <c r="J10" s="1941"/>
      <c r="K10" s="1938"/>
      <c r="L10" s="1941"/>
      <c r="M10" s="1942"/>
      <c r="N10" s="1943"/>
      <c r="O10" s="1944"/>
      <c r="P10" s="1945"/>
      <c r="Q10" s="1945"/>
      <c r="R10" s="1945"/>
      <c r="S10" s="1945"/>
      <c r="T10" s="1945"/>
      <c r="U10" s="1945"/>
      <c r="V10" s="1945"/>
      <c r="W10" s="1945"/>
      <c r="X10" s="1945"/>
      <c r="Y10" s="1945"/>
    </row>
    <row r="11" spans="1:256" ht="16.5" customHeight="1">
      <c r="A11" s="1934"/>
      <c r="B11" s="1935"/>
      <c r="C11" s="1934" t="s">
        <v>451</v>
      </c>
      <c r="D11" s="3388" t="s">
        <v>4421</v>
      </c>
      <c r="E11" s="608" t="s">
        <v>4422</v>
      </c>
      <c r="F11" s="1937"/>
      <c r="G11" s="1939"/>
      <c r="H11" s="1940">
        <f>H12</f>
        <v>0</v>
      </c>
      <c r="I11" s="1943"/>
      <c r="J11" s="1943"/>
      <c r="K11" s="1945">
        <f>SUM(K12)</f>
        <v>5</v>
      </c>
      <c r="L11" s="1946">
        <f>SUM(L12:L13)</f>
        <v>1</v>
      </c>
      <c r="M11" s="1947"/>
      <c r="N11" s="1948">
        <f>+N12+N13</f>
        <v>0.1</v>
      </c>
      <c r="O11" s="3386">
        <f>IF(Q11&gt;0,N11,"na")</f>
        <v>0.1</v>
      </c>
      <c r="P11" s="1949">
        <f>SUM(P12:P13)</f>
        <v>500000000</v>
      </c>
      <c r="Q11" s="1949">
        <f>SUM(Q12:Q13)</f>
        <v>500000000</v>
      </c>
      <c r="R11" s="1949">
        <f>SUM(R12:R13)</f>
        <v>26155000</v>
      </c>
      <c r="S11" s="1949">
        <f>SUM(S12:S13)</f>
        <v>10462000</v>
      </c>
      <c r="T11" s="1950">
        <f t="shared" ref="T11:U13" si="0">IF(Q11=0,0,R11/Q11)</f>
        <v>5.2310000000000002E-2</v>
      </c>
      <c r="U11" s="1950">
        <f t="shared" si="0"/>
        <v>0.4</v>
      </c>
      <c r="V11" s="1951"/>
      <c r="W11" s="1951"/>
      <c r="X11" s="1945"/>
      <c r="Y11" s="3388" t="s">
        <v>4423</v>
      </c>
    </row>
    <row r="12" spans="1:256" ht="27" customHeight="1">
      <c r="A12" s="1934"/>
      <c r="B12" s="1935"/>
      <c r="C12" s="1934"/>
      <c r="D12" s="3393"/>
      <c r="E12" s="1937" t="s">
        <v>4424</v>
      </c>
      <c r="F12" s="1937"/>
      <c r="G12" s="3396" t="s">
        <v>4420</v>
      </c>
      <c r="H12" s="1940">
        <v>0</v>
      </c>
      <c r="I12" s="1943" t="s">
        <v>4425</v>
      </c>
      <c r="J12" s="1943" t="s">
        <v>1843</v>
      </c>
      <c r="K12" s="1945">
        <v>5</v>
      </c>
      <c r="L12" s="1946">
        <v>0.8</v>
      </c>
      <c r="M12" s="1947">
        <v>0</v>
      </c>
      <c r="N12" s="1952">
        <f>L12/K12*M12</f>
        <v>0</v>
      </c>
      <c r="O12" s="3391"/>
      <c r="P12" s="1949">
        <v>469676000</v>
      </c>
      <c r="Q12" s="1953">
        <v>469676000</v>
      </c>
      <c r="R12" s="1949">
        <v>0</v>
      </c>
      <c r="S12" s="1949">
        <v>0</v>
      </c>
      <c r="T12" s="1950">
        <f t="shared" si="0"/>
        <v>0</v>
      </c>
      <c r="U12" s="1950">
        <f t="shared" si="0"/>
        <v>0</v>
      </c>
      <c r="V12" s="1954"/>
      <c r="W12" s="1954"/>
      <c r="X12" s="1943"/>
      <c r="Y12" s="3393"/>
    </row>
    <row r="13" spans="1:256" ht="81">
      <c r="A13" s="1934"/>
      <c r="B13" s="1935"/>
      <c r="C13" s="1934"/>
      <c r="D13" s="3394"/>
      <c r="E13" s="1937" t="s">
        <v>4426</v>
      </c>
      <c r="F13" s="1937"/>
      <c r="G13" s="3397"/>
      <c r="H13" s="1940"/>
      <c r="I13" s="1943" t="s">
        <v>4427</v>
      </c>
      <c r="J13" s="1943" t="s">
        <v>110</v>
      </c>
      <c r="K13" s="1945">
        <v>1</v>
      </c>
      <c r="L13" s="1946">
        <v>0.2</v>
      </c>
      <c r="M13" s="1947">
        <v>0</v>
      </c>
      <c r="N13" s="1952">
        <v>0.1</v>
      </c>
      <c r="O13" s="3392"/>
      <c r="P13" s="1949">
        <v>30324000</v>
      </c>
      <c r="Q13" s="1953">
        <v>30324000</v>
      </c>
      <c r="R13" s="1949">
        <v>26155000</v>
      </c>
      <c r="S13" s="1949">
        <v>10462000</v>
      </c>
      <c r="T13" s="1950">
        <f t="shared" si="0"/>
        <v>0.86251813744888539</v>
      </c>
      <c r="U13" s="1950">
        <f t="shared" si="0"/>
        <v>0.4</v>
      </c>
      <c r="V13" s="1954">
        <v>45323</v>
      </c>
      <c r="W13" s="1954">
        <v>45657</v>
      </c>
      <c r="X13" s="1955" t="s">
        <v>5707</v>
      </c>
      <c r="Y13" s="3394"/>
    </row>
    <row r="14" spans="1:256" ht="51">
      <c r="A14" s="1934">
        <v>4173</v>
      </c>
      <c r="B14" s="1935">
        <v>52030080003</v>
      </c>
      <c r="C14" s="1956" t="s">
        <v>103</v>
      </c>
      <c r="D14" s="1957" t="s">
        <v>4428</v>
      </c>
      <c r="E14" s="1937"/>
      <c r="F14" s="1940">
        <v>9</v>
      </c>
      <c r="G14" s="1939"/>
      <c r="H14" s="1940">
        <f>+H16+H19</f>
        <v>0</v>
      </c>
      <c r="I14" s="1943"/>
      <c r="J14" s="1943"/>
      <c r="K14" s="1943">
        <f>SUM(K15)</f>
        <v>8</v>
      </c>
      <c r="L14" s="1948"/>
      <c r="M14" s="1949">
        <f>M16</f>
        <v>0</v>
      </c>
      <c r="N14" s="1948"/>
      <c r="O14" s="1958"/>
      <c r="P14" s="1947"/>
      <c r="Q14" s="1949"/>
      <c r="R14" s="1949"/>
      <c r="S14" s="1949"/>
      <c r="T14" s="1959"/>
      <c r="U14" s="1959"/>
      <c r="V14" s="1951"/>
      <c r="W14" s="1951"/>
      <c r="X14" s="1943"/>
      <c r="Y14" s="1945"/>
    </row>
    <row r="15" spans="1:256" ht="16.5" customHeight="1">
      <c r="A15" s="1934"/>
      <c r="B15" s="1935"/>
      <c r="C15" s="1934" t="s">
        <v>451</v>
      </c>
      <c r="D15" s="3390" t="s">
        <v>4429</v>
      </c>
      <c r="E15" s="1937" t="s">
        <v>4430</v>
      </c>
      <c r="F15" s="1937"/>
      <c r="G15" s="1960">
        <v>0</v>
      </c>
      <c r="H15" s="1937">
        <f>H16</f>
        <v>0</v>
      </c>
      <c r="I15" s="1943"/>
      <c r="J15" s="1943"/>
      <c r="K15" s="1945">
        <f>SUM(K16)</f>
        <v>8</v>
      </c>
      <c r="L15" s="1948">
        <f>SUM(L16:L17)</f>
        <v>1</v>
      </c>
      <c r="M15" s="1949"/>
      <c r="N15" s="1948">
        <f>+N16+N17</f>
        <v>0.1</v>
      </c>
      <c r="O15" s="3386">
        <f>IF(Q15&gt;0,N15,"na")</f>
        <v>0.1</v>
      </c>
      <c r="P15" s="1949">
        <f>SUM(P16:P17)</f>
        <v>500000000</v>
      </c>
      <c r="Q15" s="1949">
        <f>SUM(Q16:Q17)</f>
        <v>664904000</v>
      </c>
      <c r="R15" s="1949">
        <f>SUM(R16:R17)</f>
        <v>65110000</v>
      </c>
      <c r="S15" s="1949">
        <f>SUM(S16:S17)</f>
        <v>17752000</v>
      </c>
      <c r="T15" s="1950">
        <f t="shared" ref="T15:U17" si="1">IF(Q15=0,0,R15/Q15)</f>
        <v>9.7923910820208626E-2</v>
      </c>
      <c r="U15" s="1950">
        <f t="shared" si="1"/>
        <v>0.27264629089233605</v>
      </c>
      <c r="V15" s="1951"/>
      <c r="W15" s="1951"/>
      <c r="X15" s="1943"/>
      <c r="Y15" s="3388" t="s">
        <v>4423</v>
      </c>
    </row>
    <row r="16" spans="1:256" ht="121.5" customHeight="1">
      <c r="A16" s="1934"/>
      <c r="B16" s="1935"/>
      <c r="C16" s="1934"/>
      <c r="D16" s="3390"/>
      <c r="E16" s="1937" t="s">
        <v>4431</v>
      </c>
      <c r="F16" s="1937"/>
      <c r="G16" s="1939" t="s">
        <v>4428</v>
      </c>
      <c r="H16" s="1940">
        <v>0</v>
      </c>
      <c r="I16" s="1943" t="s">
        <v>4432</v>
      </c>
      <c r="J16" s="1943" t="s">
        <v>1843</v>
      </c>
      <c r="K16" s="1945">
        <v>8</v>
      </c>
      <c r="L16" s="1948">
        <v>0.8</v>
      </c>
      <c r="M16" s="1947">
        <v>0</v>
      </c>
      <c r="N16" s="1952">
        <f>M16/K16*L16</f>
        <v>0</v>
      </c>
      <c r="O16" s="3391"/>
      <c r="P16" s="1949">
        <v>469676000</v>
      </c>
      <c r="Q16" s="1949">
        <v>469676000</v>
      </c>
      <c r="R16" s="1953">
        <v>0</v>
      </c>
      <c r="S16" s="1949">
        <v>0</v>
      </c>
      <c r="T16" s="1950">
        <f t="shared" si="1"/>
        <v>0</v>
      </c>
      <c r="U16" s="1950">
        <f t="shared" si="1"/>
        <v>0</v>
      </c>
      <c r="V16" s="1954"/>
      <c r="W16" s="1954"/>
      <c r="X16" s="1943"/>
      <c r="Y16" s="3393"/>
    </row>
    <row r="17" spans="1:25" ht="108">
      <c r="A17" s="1934"/>
      <c r="B17" s="1935"/>
      <c r="C17" s="1934"/>
      <c r="D17" s="3390"/>
      <c r="E17" s="1937"/>
      <c r="F17" s="1937"/>
      <c r="G17" s="1960"/>
      <c r="H17" s="1937"/>
      <c r="I17" s="1943" t="s">
        <v>4433</v>
      </c>
      <c r="J17" s="1943" t="s">
        <v>110</v>
      </c>
      <c r="K17" s="1945">
        <v>1</v>
      </c>
      <c r="L17" s="1948">
        <v>0.2</v>
      </c>
      <c r="M17" s="1947">
        <v>0</v>
      </c>
      <c r="N17" s="1952">
        <v>0.1</v>
      </c>
      <c r="O17" s="3392"/>
      <c r="P17" s="1949">
        <v>30324000</v>
      </c>
      <c r="Q17" s="1949">
        <v>195228000</v>
      </c>
      <c r="R17" s="1949">
        <v>65110000</v>
      </c>
      <c r="S17" s="1949">
        <v>17752000</v>
      </c>
      <c r="T17" s="1950">
        <f t="shared" si="1"/>
        <v>0.33350748867990249</v>
      </c>
      <c r="U17" s="1950">
        <f t="shared" si="1"/>
        <v>0.27264629089233605</v>
      </c>
      <c r="V17" s="1954">
        <v>45323</v>
      </c>
      <c r="W17" s="1954">
        <v>45657</v>
      </c>
      <c r="X17" s="1943" t="s">
        <v>5708</v>
      </c>
      <c r="Y17" s="3394"/>
    </row>
    <row r="18" spans="1:25" ht="16.5" customHeight="1">
      <c r="A18" s="1934"/>
      <c r="B18" s="1935"/>
      <c r="C18" s="1934" t="s">
        <v>451</v>
      </c>
      <c r="D18" s="3388" t="s">
        <v>4434</v>
      </c>
      <c r="E18" s="1937" t="s">
        <v>4435</v>
      </c>
      <c r="F18" s="1937"/>
      <c r="G18" s="1939"/>
      <c r="H18" s="1940">
        <f>H19</f>
        <v>0</v>
      </c>
      <c r="I18" s="1943"/>
      <c r="J18" s="1943"/>
      <c r="K18" s="1945">
        <f>SUM(K19)</f>
        <v>1</v>
      </c>
      <c r="L18" s="1946">
        <f>SUM(L19)</f>
        <v>1</v>
      </c>
      <c r="M18" s="1947">
        <f>SUM(M19)</f>
        <v>0</v>
      </c>
      <c r="N18" s="1948">
        <f>SUM(N19)</f>
        <v>0</v>
      </c>
      <c r="O18" s="3386">
        <f>IF(Q18&gt;0,N18,"na")</f>
        <v>0</v>
      </c>
      <c r="P18" s="1949">
        <f>SUM(P19)</f>
        <v>117917069</v>
      </c>
      <c r="Q18" s="1949">
        <f>SUM(Q19)</f>
        <v>117917069</v>
      </c>
      <c r="R18" s="1949">
        <f>SUM(R19)</f>
        <v>0</v>
      </c>
      <c r="S18" s="1949">
        <f>SUM(S19)</f>
        <v>0</v>
      </c>
      <c r="T18" s="1950">
        <f>IF(Q18=0,0,R18/Q18)</f>
        <v>0</v>
      </c>
      <c r="U18" s="1950">
        <f>IF(R18=0,0,S18/R18)</f>
        <v>0</v>
      </c>
      <c r="V18" s="1951"/>
      <c r="W18" s="1951"/>
      <c r="X18" s="1943"/>
      <c r="Y18" s="3388" t="s">
        <v>4423</v>
      </c>
    </row>
    <row r="19" spans="1:25" ht="135" customHeight="1">
      <c r="A19" s="1934"/>
      <c r="B19" s="1935"/>
      <c r="C19" s="1934"/>
      <c r="D19" s="3394"/>
      <c r="E19" s="1937" t="s">
        <v>4436</v>
      </c>
      <c r="F19" s="1937"/>
      <c r="G19" s="1939" t="s">
        <v>4420</v>
      </c>
      <c r="H19" s="1940">
        <v>0</v>
      </c>
      <c r="I19" s="1943" t="s">
        <v>4437</v>
      </c>
      <c r="J19" s="1943" t="s">
        <v>1843</v>
      </c>
      <c r="K19" s="1945">
        <v>1</v>
      </c>
      <c r="L19" s="1946">
        <v>1</v>
      </c>
      <c r="M19" s="1947">
        <v>0</v>
      </c>
      <c r="N19" s="1952">
        <f>M19/K19*L19</f>
        <v>0</v>
      </c>
      <c r="O19" s="3392"/>
      <c r="P19" s="1949">
        <v>117917069</v>
      </c>
      <c r="Q19" s="1953">
        <v>117917069</v>
      </c>
      <c r="R19" s="1949">
        <v>0</v>
      </c>
      <c r="S19" s="1949">
        <v>0</v>
      </c>
      <c r="T19" s="1950">
        <f>IF(Q19=0,0,R19/Q19)</f>
        <v>0</v>
      </c>
      <c r="U19" s="1950">
        <f>IF(R19=0,0,S19/R19)</f>
        <v>0</v>
      </c>
      <c r="V19" s="1954"/>
      <c r="W19" s="1954"/>
      <c r="X19" s="1943"/>
      <c r="Y19" s="3394"/>
    </row>
    <row r="20" spans="1:25">
      <c r="A20" s="1916"/>
      <c r="B20" s="1917">
        <v>54</v>
      </c>
      <c r="C20" s="1921" t="s">
        <v>100</v>
      </c>
      <c r="D20" s="1961" t="s">
        <v>108</v>
      </c>
      <c r="E20" s="1916"/>
      <c r="F20" s="1916"/>
      <c r="G20" s="1919"/>
      <c r="H20" s="1916"/>
      <c r="I20" s="1924"/>
      <c r="J20" s="1924"/>
      <c r="K20" s="1962"/>
      <c r="L20" s="1963"/>
      <c r="M20" s="1964"/>
      <c r="N20" s="1963"/>
      <c r="O20" s="1965"/>
      <c r="P20" s="1966"/>
      <c r="Q20" s="1964"/>
      <c r="R20" s="1964"/>
      <c r="S20" s="1964"/>
      <c r="T20" s="1967"/>
      <c r="U20" s="1967"/>
      <c r="V20" s="1968"/>
      <c r="W20" s="1968"/>
      <c r="X20" s="1924"/>
      <c r="Y20" s="1920"/>
    </row>
    <row r="21" spans="1:25" ht="31.5">
      <c r="A21" s="1916"/>
      <c r="B21" s="1917">
        <v>5401</v>
      </c>
      <c r="C21" s="1921" t="s">
        <v>101</v>
      </c>
      <c r="D21" s="1924" t="s">
        <v>120</v>
      </c>
      <c r="E21" s="1916"/>
      <c r="F21" s="1916"/>
      <c r="G21" s="1919"/>
      <c r="H21" s="1916"/>
      <c r="I21" s="1924"/>
      <c r="J21" s="1924"/>
      <c r="K21" s="1962"/>
      <c r="L21" s="1963"/>
      <c r="M21" s="1964"/>
      <c r="N21" s="1963"/>
      <c r="O21" s="1965"/>
      <c r="P21" s="1966"/>
      <c r="Q21" s="1964"/>
      <c r="R21" s="1964"/>
      <c r="S21" s="1964"/>
      <c r="T21" s="1967"/>
      <c r="U21" s="1967"/>
      <c r="V21" s="1968"/>
      <c r="W21" s="1968"/>
      <c r="X21" s="1924"/>
      <c r="Y21" s="1920"/>
    </row>
    <row r="22" spans="1:25">
      <c r="A22" s="1925"/>
      <c r="B22" s="1926">
        <v>5401001</v>
      </c>
      <c r="C22" s="1927" t="s">
        <v>102</v>
      </c>
      <c r="D22" s="1933" t="s">
        <v>188</v>
      </c>
      <c r="E22" s="1925"/>
      <c r="F22" s="1925"/>
      <c r="G22" s="1928"/>
      <c r="H22" s="1925"/>
      <c r="I22" s="1933"/>
      <c r="J22" s="1933"/>
      <c r="K22" s="1969"/>
      <c r="L22" s="1970"/>
      <c r="M22" s="1971"/>
      <c r="N22" s="1970"/>
      <c r="O22" s="1972"/>
      <c r="P22" s="1973"/>
      <c r="Q22" s="1971"/>
      <c r="R22" s="1971"/>
      <c r="S22" s="1971"/>
      <c r="T22" s="1974"/>
      <c r="U22" s="1974"/>
      <c r="V22" s="1975"/>
      <c r="W22" s="1975"/>
      <c r="X22" s="1933"/>
      <c r="Y22" s="1929"/>
    </row>
    <row r="23" spans="1:25" ht="25.5">
      <c r="A23" s="1934">
        <v>4173</v>
      </c>
      <c r="B23" s="1935">
        <v>54010010012</v>
      </c>
      <c r="C23" s="1956" t="s">
        <v>103</v>
      </c>
      <c r="D23" s="1957" t="s">
        <v>4438</v>
      </c>
      <c r="E23" s="1937"/>
      <c r="F23" s="1940">
        <v>9</v>
      </c>
      <c r="G23" s="1939"/>
      <c r="H23" s="1976">
        <f>+H27+H28</f>
        <v>9</v>
      </c>
      <c r="I23" s="1943"/>
      <c r="J23" s="1943"/>
      <c r="K23" s="1977"/>
      <c r="L23" s="1978"/>
      <c r="M23" s="1979"/>
      <c r="N23" s="1948"/>
      <c r="O23" s="1958"/>
      <c r="P23" s="1945"/>
      <c r="Q23" s="1949"/>
      <c r="R23" s="1949"/>
      <c r="S23" s="1949"/>
      <c r="T23" s="1959"/>
      <c r="U23" s="1959"/>
      <c r="V23" s="1951"/>
      <c r="W23" s="1951"/>
      <c r="X23" s="1943"/>
      <c r="Y23" s="1945"/>
    </row>
    <row r="24" spans="1:25" ht="16.5" customHeight="1">
      <c r="A24" s="1934"/>
      <c r="B24" s="1935"/>
      <c r="C24" s="1934" t="s">
        <v>451</v>
      </c>
      <c r="D24" s="3390" t="s">
        <v>4439</v>
      </c>
      <c r="E24" s="1937" t="s">
        <v>4440</v>
      </c>
      <c r="F24" s="1940"/>
      <c r="G24" s="1939"/>
      <c r="H24" s="1976"/>
      <c r="I24" s="1943"/>
      <c r="J24" s="1943"/>
      <c r="K24" s="1945">
        <f>SUM(K27)</f>
        <v>5</v>
      </c>
      <c r="L24" s="1948">
        <f>SUM(L25:L28)</f>
        <v>1</v>
      </c>
      <c r="M24" s="1949">
        <f>M27</f>
        <v>5</v>
      </c>
      <c r="N24" s="1948">
        <f>SUM(N25:N28)</f>
        <v>0.91999999999999993</v>
      </c>
      <c r="O24" s="3395">
        <f>IF(Q24&gt;0,N24,"na")</f>
        <v>0.91999999999999993</v>
      </c>
      <c r="P24" s="1949">
        <f>SUM(P25:P28)</f>
        <v>2230000000</v>
      </c>
      <c r="Q24" s="1949">
        <f>SUM(Q25:Q28)</f>
        <v>2188655000</v>
      </c>
      <c r="R24" s="1949">
        <f>SUM(R25:R28)</f>
        <v>1675831000</v>
      </c>
      <c r="S24" s="1949">
        <f>SUM(S25:S28)</f>
        <v>1066436000</v>
      </c>
      <c r="T24" s="1950">
        <f t="shared" ref="T24:U28" si="2">IF(Q24=0,0,R24/Q24)</f>
        <v>0.76568988716814668</v>
      </c>
      <c r="U24" s="1950">
        <f t="shared" si="2"/>
        <v>0.63636249717304427</v>
      </c>
      <c r="V24" s="1951"/>
      <c r="W24" s="1951"/>
      <c r="X24" s="1943"/>
      <c r="Y24" s="3388" t="s">
        <v>4441</v>
      </c>
    </row>
    <row r="25" spans="1:25" ht="202.5">
      <c r="A25" s="1934"/>
      <c r="B25" s="1935"/>
      <c r="C25" s="1934"/>
      <c r="D25" s="3390"/>
      <c r="E25" s="1937" t="s">
        <v>4442</v>
      </c>
      <c r="F25" s="1937"/>
      <c r="G25" s="1960"/>
      <c r="H25" s="1937">
        <v>1</v>
      </c>
      <c r="I25" s="1943" t="s">
        <v>4443</v>
      </c>
      <c r="J25" s="1943" t="s">
        <v>4444</v>
      </c>
      <c r="K25" s="1945">
        <v>1</v>
      </c>
      <c r="L25" s="1980">
        <v>0.2</v>
      </c>
      <c r="M25" s="1949">
        <v>1</v>
      </c>
      <c r="N25" s="1946">
        <v>0.2</v>
      </c>
      <c r="O25" s="3395"/>
      <c r="P25" s="1949">
        <v>198125400</v>
      </c>
      <c r="Q25" s="1953">
        <v>183260600</v>
      </c>
      <c r="R25" s="1949">
        <v>152172000</v>
      </c>
      <c r="S25" s="1949">
        <v>96217000</v>
      </c>
      <c r="T25" s="1950">
        <f t="shared" si="2"/>
        <v>0.83035851677883843</v>
      </c>
      <c r="U25" s="1950">
        <f t="shared" si="2"/>
        <v>0.63229109165943798</v>
      </c>
      <c r="V25" s="1954">
        <v>45306</v>
      </c>
      <c r="W25" s="1954">
        <v>45657</v>
      </c>
      <c r="X25" s="1943" t="s">
        <v>5709</v>
      </c>
      <c r="Y25" s="3393"/>
    </row>
    <row r="26" spans="1:25" ht="148.5">
      <c r="A26" s="1934"/>
      <c r="B26" s="1935"/>
      <c r="C26" s="1934"/>
      <c r="D26" s="3390"/>
      <c r="E26" s="1937" t="s">
        <v>4445</v>
      </c>
      <c r="F26" s="1937"/>
      <c r="G26" s="1960"/>
      <c r="H26" s="1937">
        <v>0</v>
      </c>
      <c r="I26" s="1943" t="s">
        <v>4446</v>
      </c>
      <c r="J26" s="1943" t="s">
        <v>4447</v>
      </c>
      <c r="K26" s="1945">
        <v>1</v>
      </c>
      <c r="L26" s="1980">
        <v>0.2</v>
      </c>
      <c r="M26" s="1949">
        <v>0</v>
      </c>
      <c r="N26" s="1946">
        <v>0.12</v>
      </c>
      <c r="O26" s="3395"/>
      <c r="P26" s="1949">
        <v>174867000</v>
      </c>
      <c r="Q26" s="1949">
        <v>148386800</v>
      </c>
      <c r="R26" s="1949">
        <v>140439000</v>
      </c>
      <c r="S26" s="1949">
        <v>74658000</v>
      </c>
      <c r="T26" s="1950">
        <f>IF(Q26=0,0,R26/Q26)</f>
        <v>0.94643863200769884</v>
      </c>
      <c r="U26" s="1950">
        <f>IF(R26=0,0,S26/R26)</f>
        <v>0.53160446884412449</v>
      </c>
      <c r="V26" s="1954">
        <v>45306</v>
      </c>
      <c r="W26" s="1954">
        <v>45657</v>
      </c>
      <c r="X26" s="1943" t="s">
        <v>5710</v>
      </c>
      <c r="Y26" s="3393"/>
    </row>
    <row r="27" spans="1:25" ht="135">
      <c r="A27" s="1934"/>
      <c r="B27" s="1935"/>
      <c r="C27" s="1934"/>
      <c r="D27" s="3390"/>
      <c r="E27" s="1937" t="s">
        <v>4448</v>
      </c>
      <c r="F27" s="1937"/>
      <c r="G27" s="3396" t="s">
        <v>4438</v>
      </c>
      <c r="H27" s="1976">
        <v>5</v>
      </c>
      <c r="I27" s="1943" t="s">
        <v>4449</v>
      </c>
      <c r="J27" s="1943" t="s">
        <v>3359</v>
      </c>
      <c r="K27" s="1945">
        <v>5</v>
      </c>
      <c r="L27" s="1980">
        <v>0.4</v>
      </c>
      <c r="M27" s="1949">
        <v>5</v>
      </c>
      <c r="N27" s="1946">
        <v>0.4</v>
      </c>
      <c r="O27" s="3395"/>
      <c r="P27" s="1949">
        <v>1777154200</v>
      </c>
      <c r="Q27" s="1953">
        <v>1447102800</v>
      </c>
      <c r="R27" s="1949">
        <v>1333924000</v>
      </c>
      <c r="S27" s="1949">
        <v>868455000</v>
      </c>
      <c r="T27" s="1950">
        <f>IF(Q27=0,0,R27/Q27)</f>
        <v>0.92178938496974783</v>
      </c>
      <c r="U27" s="1950">
        <f>IF(R27=0,0,S27/R27)</f>
        <v>0.65105283359471755</v>
      </c>
      <c r="V27" s="1954">
        <v>45306</v>
      </c>
      <c r="W27" s="1954">
        <v>45657</v>
      </c>
      <c r="X27" s="1943" t="s">
        <v>5711</v>
      </c>
      <c r="Y27" s="3393"/>
    </row>
    <row r="28" spans="1:25" ht="94.5">
      <c r="A28" s="1934"/>
      <c r="B28" s="1935"/>
      <c r="C28" s="1934"/>
      <c r="D28" s="3390"/>
      <c r="E28" s="1937" t="s">
        <v>4450</v>
      </c>
      <c r="F28" s="1937"/>
      <c r="G28" s="3397"/>
      <c r="H28" s="1940">
        <v>4</v>
      </c>
      <c r="I28" s="1943" t="s">
        <v>4451</v>
      </c>
      <c r="J28" s="1943" t="s">
        <v>2229</v>
      </c>
      <c r="K28" s="1945">
        <v>4</v>
      </c>
      <c r="L28" s="1980">
        <v>0.2</v>
      </c>
      <c r="M28" s="1949">
        <v>4</v>
      </c>
      <c r="N28" s="1946">
        <v>0.2</v>
      </c>
      <c r="O28" s="3395"/>
      <c r="P28" s="1949">
        <v>79853400</v>
      </c>
      <c r="Q28" s="1949">
        <v>409904800</v>
      </c>
      <c r="R28" s="1949">
        <v>49296000</v>
      </c>
      <c r="S28" s="1949">
        <v>27106000</v>
      </c>
      <c r="T28" s="1950">
        <f t="shared" si="2"/>
        <v>0.12026207060761425</v>
      </c>
      <c r="U28" s="1950">
        <f t="shared" si="2"/>
        <v>0.54986205777345021</v>
      </c>
      <c r="V28" s="1954">
        <v>45306</v>
      </c>
      <c r="W28" s="1954">
        <v>45657</v>
      </c>
      <c r="X28" s="1943" t="s">
        <v>5712</v>
      </c>
      <c r="Y28" s="3394"/>
    </row>
    <row r="29" spans="1:25">
      <c r="A29" s="1916"/>
      <c r="B29" s="1917">
        <v>5402</v>
      </c>
      <c r="C29" s="1921" t="s">
        <v>101</v>
      </c>
      <c r="D29" s="1924" t="s">
        <v>104</v>
      </c>
      <c r="E29" s="1916"/>
      <c r="F29" s="1916"/>
      <c r="G29" s="1919"/>
      <c r="H29" s="1916"/>
      <c r="I29" s="1924"/>
      <c r="J29" s="1924"/>
      <c r="K29" s="1962"/>
      <c r="L29" s="1963"/>
      <c r="M29" s="1964"/>
      <c r="N29" s="1963"/>
      <c r="O29" s="1965"/>
      <c r="P29" s="1966"/>
      <c r="Q29" s="1964"/>
      <c r="R29" s="1964"/>
      <c r="S29" s="1964"/>
      <c r="T29" s="1967"/>
      <c r="U29" s="1967"/>
      <c r="V29" s="1968"/>
      <c r="W29" s="1968"/>
      <c r="X29" s="1924"/>
      <c r="Y29" s="1920"/>
    </row>
    <row r="30" spans="1:25">
      <c r="A30" s="1925"/>
      <c r="B30" s="1926">
        <v>5402001</v>
      </c>
      <c r="C30" s="1927" t="s">
        <v>102</v>
      </c>
      <c r="D30" s="1933" t="s">
        <v>105</v>
      </c>
      <c r="E30" s="1925"/>
      <c r="F30" s="1925"/>
      <c r="G30" s="1928"/>
      <c r="H30" s="1925"/>
      <c r="I30" s="1933"/>
      <c r="J30" s="1933"/>
      <c r="K30" s="1969"/>
      <c r="L30" s="1970"/>
      <c r="M30" s="1971"/>
      <c r="N30" s="1970"/>
      <c r="O30" s="1981"/>
      <c r="P30" s="1973"/>
      <c r="Q30" s="1971"/>
      <c r="R30" s="1971"/>
      <c r="S30" s="1971"/>
      <c r="T30" s="1974"/>
      <c r="U30" s="1974"/>
      <c r="V30" s="1975"/>
      <c r="W30" s="1975"/>
      <c r="X30" s="1933"/>
      <c r="Y30" s="1929"/>
    </row>
    <row r="31" spans="1:25" ht="25.5">
      <c r="A31" s="1934">
        <v>4173</v>
      </c>
      <c r="B31" s="1935">
        <v>54020010028</v>
      </c>
      <c r="C31" s="1956" t="s">
        <v>103</v>
      </c>
      <c r="D31" s="1957" t="s">
        <v>4452</v>
      </c>
      <c r="E31" s="1937"/>
      <c r="F31" s="1982">
        <v>1</v>
      </c>
      <c r="G31" s="1939"/>
      <c r="H31" s="1982">
        <f>SUM(H32)</f>
        <v>0</v>
      </c>
      <c r="I31" s="1941"/>
      <c r="J31" s="1941"/>
      <c r="K31" s="1977">
        <f>K33</f>
        <v>1</v>
      </c>
      <c r="L31" s="1948"/>
      <c r="M31" s="1949"/>
      <c r="N31" s="1948"/>
      <c r="O31" s="1958"/>
      <c r="P31" s="1947"/>
      <c r="Q31" s="1949"/>
      <c r="R31" s="1949"/>
      <c r="S31" s="1949"/>
      <c r="T31" s="1959"/>
      <c r="U31" s="1959"/>
      <c r="V31" s="1951"/>
      <c r="W31" s="1951"/>
      <c r="X31" s="1943"/>
      <c r="Y31" s="1945"/>
    </row>
    <row r="32" spans="1:25" ht="16.5" customHeight="1">
      <c r="A32" s="1934"/>
      <c r="B32" s="1935"/>
      <c r="C32" s="1934" t="s">
        <v>451</v>
      </c>
      <c r="D32" s="3390" t="s">
        <v>4453</v>
      </c>
      <c r="E32" s="1937" t="s">
        <v>4454</v>
      </c>
      <c r="F32" s="1937"/>
      <c r="G32" s="1960"/>
      <c r="H32" s="1983">
        <f>H33</f>
        <v>0</v>
      </c>
      <c r="I32" s="1943"/>
      <c r="J32" s="1943"/>
      <c r="K32" s="1945">
        <f>K33</f>
        <v>1</v>
      </c>
      <c r="L32" s="1980">
        <f>SUM(L33:L34)</f>
        <v>1</v>
      </c>
      <c r="M32" s="1949">
        <v>0</v>
      </c>
      <c r="N32" s="1948">
        <f>SUM(N33:N34)</f>
        <v>0.85</v>
      </c>
      <c r="O32" s="3386">
        <f>IF(Q32&gt;0,N32,"na")</f>
        <v>0.85</v>
      </c>
      <c r="P32" s="1949">
        <f>SUM(P33:P34)</f>
        <v>2200000000</v>
      </c>
      <c r="Q32" s="1949">
        <f>SUM(Q33:Q34)</f>
        <v>3147339000</v>
      </c>
      <c r="R32" s="1949">
        <f>SUM(R33:R34)</f>
        <v>2440770000</v>
      </c>
      <c r="S32" s="1949">
        <f>SUM(S33:S34)</f>
        <v>1278011000</v>
      </c>
      <c r="T32" s="1950">
        <f t="shared" ref="T32:U34" si="3">IF(Q32=0,0,R32/Q32)</f>
        <v>0.7755027342145222</v>
      </c>
      <c r="U32" s="1950">
        <f t="shared" si="3"/>
        <v>0.52360976249298374</v>
      </c>
      <c r="V32" s="1951"/>
      <c r="W32" s="1951"/>
      <c r="X32" s="1943"/>
      <c r="Y32" s="3388" t="s">
        <v>4455</v>
      </c>
    </row>
    <row r="33" spans="1:25" ht="121.5">
      <c r="A33" s="1934"/>
      <c r="B33" s="1935"/>
      <c r="C33" s="1934"/>
      <c r="D33" s="3390"/>
      <c r="E33" s="1937" t="s">
        <v>4456</v>
      </c>
      <c r="F33" s="1937"/>
      <c r="G33" s="1939" t="s">
        <v>4452</v>
      </c>
      <c r="H33" s="1982">
        <v>0</v>
      </c>
      <c r="I33" s="1943" t="s">
        <v>4457</v>
      </c>
      <c r="J33" s="1943" t="s">
        <v>107</v>
      </c>
      <c r="K33" s="1945">
        <v>1</v>
      </c>
      <c r="L33" s="1980">
        <v>0.5</v>
      </c>
      <c r="M33" s="1949">
        <v>0</v>
      </c>
      <c r="N33" s="1952">
        <v>0.42499999999999999</v>
      </c>
      <c r="O33" s="3391"/>
      <c r="P33" s="1949">
        <v>1489891500</v>
      </c>
      <c r="Q33" s="1949">
        <v>1957338800</v>
      </c>
      <c r="R33" s="1949">
        <v>1536509000</v>
      </c>
      <c r="S33" s="1949">
        <v>811002000</v>
      </c>
      <c r="T33" s="1950">
        <f t="shared" si="3"/>
        <v>0.78499899966219444</v>
      </c>
      <c r="U33" s="1950">
        <f t="shared" si="3"/>
        <v>0.52782118425599855</v>
      </c>
      <c r="V33" s="1954">
        <v>45306</v>
      </c>
      <c r="W33" s="1954">
        <v>45657</v>
      </c>
      <c r="X33" s="1943" t="s">
        <v>5713</v>
      </c>
      <c r="Y33" s="3393"/>
    </row>
    <row r="34" spans="1:25" ht="108">
      <c r="A34" s="1934"/>
      <c r="B34" s="1935"/>
      <c r="C34" s="1934"/>
      <c r="D34" s="3390"/>
      <c r="E34" s="1937" t="s">
        <v>4458</v>
      </c>
      <c r="F34" s="1937"/>
      <c r="G34" s="1960"/>
      <c r="H34" s="1983"/>
      <c r="I34" s="1943" t="s">
        <v>4459</v>
      </c>
      <c r="J34" s="1943" t="s">
        <v>121</v>
      </c>
      <c r="K34" s="1945">
        <v>1</v>
      </c>
      <c r="L34" s="1980">
        <v>0.5</v>
      </c>
      <c r="M34" s="1949">
        <v>0</v>
      </c>
      <c r="N34" s="1952">
        <v>0.42499999999999999</v>
      </c>
      <c r="O34" s="3392"/>
      <c r="P34" s="1949">
        <v>710108500</v>
      </c>
      <c r="Q34" s="1949">
        <v>1190000200</v>
      </c>
      <c r="R34" s="1949">
        <v>904261000</v>
      </c>
      <c r="S34" s="1949">
        <v>467009000</v>
      </c>
      <c r="T34" s="1950">
        <f t="shared" si="3"/>
        <v>0.75988306556587137</v>
      </c>
      <c r="U34" s="1950">
        <f t="shared" si="3"/>
        <v>0.51645376721986236</v>
      </c>
      <c r="V34" s="1954">
        <v>45306</v>
      </c>
      <c r="W34" s="1954">
        <v>45657</v>
      </c>
      <c r="X34" s="1955" t="s">
        <v>5714</v>
      </c>
      <c r="Y34" s="3394"/>
    </row>
    <row r="35" spans="1:25" ht="33">
      <c r="A35" s="1930"/>
      <c r="B35" s="1926">
        <v>5402003</v>
      </c>
      <c r="C35" s="1927" t="s">
        <v>102</v>
      </c>
      <c r="D35" s="1933" t="s">
        <v>240</v>
      </c>
      <c r="E35" s="1925"/>
      <c r="F35" s="1925"/>
      <c r="G35" s="1928"/>
      <c r="H35" s="1925"/>
      <c r="I35" s="1933"/>
      <c r="J35" s="1933"/>
      <c r="K35" s="1969"/>
      <c r="L35" s="1970"/>
      <c r="M35" s="1971"/>
      <c r="N35" s="1970"/>
      <c r="O35" s="1981"/>
      <c r="P35" s="1929"/>
      <c r="Q35" s="1971"/>
      <c r="R35" s="1971"/>
      <c r="S35" s="1971"/>
      <c r="T35" s="1974"/>
      <c r="U35" s="1974"/>
      <c r="V35" s="1975"/>
      <c r="W35" s="1975"/>
      <c r="X35" s="1933"/>
      <c r="Y35" s="1925"/>
    </row>
    <row r="36" spans="1:25" ht="38.25">
      <c r="A36" s="1934">
        <v>4173</v>
      </c>
      <c r="B36" s="1935">
        <v>54020030006</v>
      </c>
      <c r="C36" s="1956" t="s">
        <v>103</v>
      </c>
      <c r="D36" s="1957" t="s">
        <v>4460</v>
      </c>
      <c r="E36" s="1937"/>
      <c r="F36" s="1983">
        <v>1</v>
      </c>
      <c r="G36" s="1960"/>
      <c r="H36" s="1983">
        <f>SUM(H37:H38)</f>
        <v>1</v>
      </c>
      <c r="I36" s="1943"/>
      <c r="J36" s="1943"/>
      <c r="K36" s="1945"/>
      <c r="L36" s="1948"/>
      <c r="M36" s="1949"/>
      <c r="N36" s="1948"/>
      <c r="O36" s="1958"/>
      <c r="P36" s="1945"/>
      <c r="Q36" s="1949"/>
      <c r="R36" s="1949"/>
      <c r="S36" s="1949"/>
      <c r="T36" s="1959"/>
      <c r="U36" s="1959"/>
      <c r="V36" s="1951"/>
      <c r="W36" s="1951"/>
      <c r="X36" s="1943"/>
      <c r="Y36" s="1937"/>
    </row>
    <row r="37" spans="1:25" ht="16.5" customHeight="1">
      <c r="A37" s="1934"/>
      <c r="B37" s="1935"/>
      <c r="C37" s="1934" t="s">
        <v>451</v>
      </c>
      <c r="D37" s="3388" t="s">
        <v>4461</v>
      </c>
      <c r="E37" s="1937" t="s">
        <v>4462</v>
      </c>
      <c r="F37" s="1937"/>
      <c r="G37" s="1960"/>
      <c r="H37" s="1983"/>
      <c r="I37" s="1943"/>
      <c r="J37" s="1943"/>
      <c r="K37" s="1946">
        <f>K38</f>
        <v>1</v>
      </c>
      <c r="L37" s="1980">
        <f>SUM(L38)</f>
        <v>0.7</v>
      </c>
      <c r="M37" s="1980">
        <f>SUM(M38)</f>
        <v>0</v>
      </c>
      <c r="N37" s="1948">
        <f>+N39+N38</f>
        <v>0.55000000000000004</v>
      </c>
      <c r="O37" s="3386">
        <f>IF(Q37&gt;0,N37,"na")</f>
        <v>0.55000000000000004</v>
      </c>
      <c r="P37" s="1949">
        <f>SUM(P38:P39)</f>
        <v>2400000000</v>
      </c>
      <c r="Q37" s="1949">
        <f>SUM(Q38:Q39)</f>
        <v>2900000000</v>
      </c>
      <c r="R37" s="1949">
        <f>SUM(R38:R39)</f>
        <v>2024551700</v>
      </c>
      <c r="S37" s="1949">
        <f>SUM(S38:S39)</f>
        <v>1027788000</v>
      </c>
      <c r="T37" s="1950">
        <f t="shared" ref="T37:U39" si="4">IF(Q37=0,0,R37/Q37)</f>
        <v>0.69812127586206896</v>
      </c>
      <c r="U37" s="1950">
        <f t="shared" si="4"/>
        <v>0.50766201722583815</v>
      </c>
      <c r="V37" s="1951"/>
      <c r="W37" s="1951"/>
      <c r="X37" s="1943"/>
      <c r="Y37" s="3388" t="s">
        <v>4455</v>
      </c>
    </row>
    <row r="38" spans="1:25" ht="108">
      <c r="A38" s="1934"/>
      <c r="B38" s="1935"/>
      <c r="C38" s="1934"/>
      <c r="D38" s="3393"/>
      <c r="E38" s="1937" t="s">
        <v>4463</v>
      </c>
      <c r="F38" s="1937"/>
      <c r="G38" s="1939" t="s">
        <v>4460</v>
      </c>
      <c r="H38" s="1982">
        <v>1</v>
      </c>
      <c r="I38" s="1941" t="s">
        <v>4464</v>
      </c>
      <c r="J38" s="1943" t="s">
        <v>206</v>
      </c>
      <c r="K38" s="1945">
        <v>1</v>
      </c>
      <c r="L38" s="1980">
        <v>0.7</v>
      </c>
      <c r="M38" s="1946">
        <v>0</v>
      </c>
      <c r="N38" s="1948">
        <v>0.35</v>
      </c>
      <c r="O38" s="3391"/>
      <c r="P38" s="1949">
        <v>2385610776</v>
      </c>
      <c r="Q38" s="1953">
        <v>2385610776</v>
      </c>
      <c r="R38" s="1949">
        <v>2022255000</v>
      </c>
      <c r="S38" s="1949">
        <v>1027788000</v>
      </c>
      <c r="T38" s="1950">
        <f t="shared" si="4"/>
        <v>0.84768857533027842</v>
      </c>
      <c r="U38" s="1950">
        <f t="shared" si="4"/>
        <v>0.50823857525386262</v>
      </c>
      <c r="V38" s="1954">
        <v>45306</v>
      </c>
      <c r="W38" s="1954">
        <v>45657</v>
      </c>
      <c r="X38" s="1943" t="s">
        <v>5715</v>
      </c>
      <c r="Y38" s="3393"/>
    </row>
    <row r="39" spans="1:25" ht="40.5">
      <c r="A39" s="1934"/>
      <c r="B39" s="1935"/>
      <c r="C39" s="1934"/>
      <c r="D39" s="3394"/>
      <c r="E39" s="1937" t="s">
        <v>4465</v>
      </c>
      <c r="F39" s="1937"/>
      <c r="G39" s="1960"/>
      <c r="H39" s="1983"/>
      <c r="I39" s="1943" t="s">
        <v>4466</v>
      </c>
      <c r="J39" s="1943" t="s">
        <v>4467</v>
      </c>
      <c r="K39" s="1945">
        <v>23</v>
      </c>
      <c r="L39" s="1980">
        <v>0.3</v>
      </c>
      <c r="M39" s="1946">
        <v>0</v>
      </c>
      <c r="N39" s="1948">
        <v>0.2</v>
      </c>
      <c r="O39" s="3392"/>
      <c r="P39" s="1949">
        <v>14389224</v>
      </c>
      <c r="Q39" s="1953">
        <v>514389224</v>
      </c>
      <c r="R39" s="1949">
        <v>2296700</v>
      </c>
      <c r="S39" s="1949"/>
      <c r="T39" s="1950">
        <f t="shared" si="4"/>
        <v>4.4649069087030488E-3</v>
      </c>
      <c r="U39" s="1950">
        <f t="shared" si="4"/>
        <v>0</v>
      </c>
      <c r="V39" s="1954">
        <v>45463</v>
      </c>
      <c r="W39" s="1954">
        <v>45657</v>
      </c>
      <c r="X39" s="1943" t="s">
        <v>5716</v>
      </c>
      <c r="Y39" s="3394"/>
    </row>
    <row r="40" spans="1:25" ht="31.5">
      <c r="A40" s="1920"/>
      <c r="B40" s="1917">
        <v>5403</v>
      </c>
      <c r="C40" s="1921" t="s">
        <v>101</v>
      </c>
      <c r="D40" s="1924" t="s">
        <v>480</v>
      </c>
      <c r="E40" s="1916"/>
      <c r="F40" s="1916"/>
      <c r="G40" s="1919"/>
      <c r="H40" s="1916"/>
      <c r="I40" s="1924"/>
      <c r="J40" s="1924"/>
      <c r="K40" s="1962"/>
      <c r="L40" s="1963"/>
      <c r="M40" s="1964"/>
      <c r="N40" s="1963"/>
      <c r="O40" s="1965"/>
      <c r="P40" s="1920"/>
      <c r="Q40" s="1964"/>
      <c r="R40" s="1964"/>
      <c r="S40" s="1964"/>
      <c r="T40" s="1967"/>
      <c r="U40" s="1967"/>
      <c r="V40" s="1968"/>
      <c r="W40" s="1968"/>
      <c r="X40" s="1924"/>
      <c r="Y40" s="1920"/>
    </row>
    <row r="41" spans="1:25">
      <c r="A41" s="1929"/>
      <c r="B41" s="1926">
        <v>5403001</v>
      </c>
      <c r="C41" s="1927" t="s">
        <v>102</v>
      </c>
      <c r="D41" s="1933" t="s">
        <v>481</v>
      </c>
      <c r="E41" s="1925"/>
      <c r="F41" s="1925"/>
      <c r="G41" s="1928"/>
      <c r="H41" s="1925"/>
      <c r="I41" s="1933"/>
      <c r="J41" s="1933"/>
      <c r="K41" s="1969"/>
      <c r="L41" s="1970"/>
      <c r="M41" s="1971"/>
      <c r="N41" s="1970"/>
      <c r="O41" s="1984"/>
      <c r="P41" s="1985"/>
      <c r="Q41" s="1971"/>
      <c r="R41" s="1971"/>
      <c r="S41" s="1971"/>
      <c r="T41" s="1974"/>
      <c r="U41" s="1974"/>
      <c r="V41" s="1975"/>
      <c r="W41" s="1975"/>
      <c r="X41" s="1933"/>
      <c r="Y41" s="1929"/>
    </row>
    <row r="42" spans="1:25" ht="25.5">
      <c r="A42" s="1934">
        <v>4173</v>
      </c>
      <c r="B42" s="1935">
        <v>54030010001</v>
      </c>
      <c r="C42" s="1956" t="s">
        <v>103</v>
      </c>
      <c r="D42" s="1957" t="s">
        <v>4468</v>
      </c>
      <c r="E42" s="1982">
        <v>0.3</v>
      </c>
      <c r="F42" s="1982"/>
      <c r="G42" s="1939"/>
      <c r="H42" s="1982">
        <v>0.3</v>
      </c>
      <c r="I42" s="1941"/>
      <c r="J42" s="1941"/>
      <c r="K42" s="1986"/>
      <c r="L42" s="1987"/>
      <c r="M42" s="1949"/>
      <c r="N42" s="1948"/>
      <c r="O42" s="1988"/>
      <c r="P42" s="1945"/>
      <c r="Q42" s="1949"/>
      <c r="R42" s="1949"/>
      <c r="S42" s="1949"/>
      <c r="T42" s="1959"/>
      <c r="U42" s="1959"/>
      <c r="V42" s="1951"/>
      <c r="W42" s="1951"/>
      <c r="X42" s="1943"/>
      <c r="Y42" s="1945"/>
    </row>
    <row r="43" spans="1:25" ht="16.5" customHeight="1">
      <c r="A43" s="1934"/>
      <c r="B43" s="1935"/>
      <c r="C43" s="1934" t="s">
        <v>451</v>
      </c>
      <c r="D43" s="3390" t="s">
        <v>4469</v>
      </c>
      <c r="E43" s="1940" t="s">
        <v>4470</v>
      </c>
      <c r="F43" s="1982"/>
      <c r="G43" s="1939"/>
      <c r="H43" s="1989">
        <f>SUM(H44:H45)</f>
        <v>0.115</v>
      </c>
      <c r="I43" s="1941"/>
      <c r="J43" s="1978"/>
      <c r="K43" s="1977"/>
      <c r="L43" s="1987">
        <f>SUM(L44:L46)</f>
        <v>1</v>
      </c>
      <c r="M43" s="1949"/>
      <c r="N43" s="1948">
        <f>+N44+N45+N46</f>
        <v>0.56081081081081086</v>
      </c>
      <c r="O43" s="3386">
        <f>IF(Q43&gt;0,N43,"na")</f>
        <v>0.56081081081081086</v>
      </c>
      <c r="P43" s="1949">
        <f>SUM(P44:P46)</f>
        <v>3290000000</v>
      </c>
      <c r="Q43" s="1949">
        <f>SUM(Q44:Q46)</f>
        <v>5819102000</v>
      </c>
      <c r="R43" s="1949">
        <f>SUM(R44:R46)</f>
        <v>4029889534</v>
      </c>
      <c r="S43" s="1949">
        <f>SUM(S44:S46)</f>
        <v>1387735100</v>
      </c>
      <c r="T43" s="1990">
        <f t="shared" ref="T43:U46" si="5">IF(Q43=0,0,R43/Q43)</f>
        <v>0.69252773606649276</v>
      </c>
      <c r="U43" s="1990">
        <f t="shared" si="5"/>
        <v>0.3443605806788847</v>
      </c>
      <c r="V43" s="1951"/>
      <c r="W43" s="1951"/>
      <c r="X43" s="1943"/>
      <c r="Y43" s="3388" t="s">
        <v>4423</v>
      </c>
    </row>
    <row r="44" spans="1:25" ht="108">
      <c r="A44" s="1934"/>
      <c r="B44" s="1935"/>
      <c r="C44" s="1934"/>
      <c r="D44" s="3390"/>
      <c r="E44" s="1940" t="s">
        <v>4471</v>
      </c>
      <c r="F44" s="1982"/>
      <c r="G44" s="1939" t="s">
        <v>4468</v>
      </c>
      <c r="H44" s="1989">
        <v>0.115</v>
      </c>
      <c r="I44" s="1941" t="s">
        <v>4472</v>
      </c>
      <c r="J44" s="1941" t="s">
        <v>3359</v>
      </c>
      <c r="K44" s="1977">
        <v>37</v>
      </c>
      <c r="L44" s="1987">
        <v>0.5</v>
      </c>
      <c r="M44" s="1945">
        <v>23</v>
      </c>
      <c r="N44" s="1952">
        <f>L44/K44*M44</f>
        <v>0.31081081081081086</v>
      </c>
      <c r="O44" s="3391"/>
      <c r="P44" s="1949">
        <v>2543141840</v>
      </c>
      <c r="Q44" s="1953">
        <v>5072243840</v>
      </c>
      <c r="R44" s="1949">
        <v>3305196534</v>
      </c>
      <c r="S44" s="1949">
        <v>942984100</v>
      </c>
      <c r="T44" s="1990">
        <f>IF(Q44=0,0,R44/Q44)</f>
        <v>0.65162414076686026</v>
      </c>
      <c r="U44" s="1990">
        <f>IF(R44=0,0,S44/R44)</f>
        <v>0.28530348809811501</v>
      </c>
      <c r="V44" s="1954">
        <v>45306</v>
      </c>
      <c r="W44" s="1954">
        <v>45657</v>
      </c>
      <c r="X44" s="1941" t="s">
        <v>5717</v>
      </c>
      <c r="Y44" s="3393"/>
    </row>
    <row r="45" spans="1:25" ht="108">
      <c r="A45" s="1934"/>
      <c r="B45" s="1935"/>
      <c r="C45" s="1934"/>
      <c r="D45" s="3390"/>
      <c r="E45" s="1940" t="s">
        <v>4473</v>
      </c>
      <c r="F45" s="1982"/>
      <c r="G45" s="1939" t="s">
        <v>4468</v>
      </c>
      <c r="H45" s="1989">
        <v>0</v>
      </c>
      <c r="I45" s="1941" t="s">
        <v>4474</v>
      </c>
      <c r="J45" s="1941" t="s">
        <v>121</v>
      </c>
      <c r="K45" s="1977">
        <v>19</v>
      </c>
      <c r="L45" s="1987">
        <v>0.25</v>
      </c>
      <c r="M45" s="1945">
        <v>0</v>
      </c>
      <c r="N45" s="1991">
        <v>0.125</v>
      </c>
      <c r="O45" s="3391"/>
      <c r="P45" s="1949">
        <v>527990280</v>
      </c>
      <c r="Q45" s="1953">
        <v>527990280</v>
      </c>
      <c r="R45" s="1949">
        <v>510554000</v>
      </c>
      <c r="S45" s="1949">
        <v>319273000</v>
      </c>
      <c r="T45" s="1990">
        <f t="shared" si="5"/>
        <v>0.96697613448489994</v>
      </c>
      <c r="U45" s="1990">
        <f t="shared" si="5"/>
        <v>0.62534619256728963</v>
      </c>
      <c r="V45" s="1954">
        <v>45306</v>
      </c>
      <c r="W45" s="1954">
        <v>45657</v>
      </c>
      <c r="X45" s="1941" t="s">
        <v>5718</v>
      </c>
      <c r="Y45" s="3393"/>
    </row>
    <row r="46" spans="1:25" ht="81">
      <c r="A46" s="1934"/>
      <c r="B46" s="1935"/>
      <c r="C46" s="1934"/>
      <c r="D46" s="3390"/>
      <c r="E46" s="1940" t="s">
        <v>4475</v>
      </c>
      <c r="F46" s="1982"/>
      <c r="G46" s="1939" t="s">
        <v>4468</v>
      </c>
      <c r="H46" s="1989">
        <v>0</v>
      </c>
      <c r="I46" s="1941" t="s">
        <v>4476</v>
      </c>
      <c r="J46" s="1941" t="s">
        <v>124</v>
      </c>
      <c r="K46" s="1977">
        <v>1</v>
      </c>
      <c r="L46" s="1987">
        <v>0.25</v>
      </c>
      <c r="M46" s="1945">
        <v>0</v>
      </c>
      <c r="N46" s="1952">
        <v>0.125</v>
      </c>
      <c r="O46" s="3392"/>
      <c r="P46" s="1949">
        <v>218867880</v>
      </c>
      <c r="Q46" s="1949">
        <v>218867880</v>
      </c>
      <c r="R46" s="1949">
        <v>214139000</v>
      </c>
      <c r="S46" s="1949">
        <v>125478000</v>
      </c>
      <c r="T46" s="1990">
        <f t="shared" si="5"/>
        <v>0.97839390594910502</v>
      </c>
      <c r="U46" s="1990">
        <f t="shared" si="5"/>
        <v>0.58596519083399101</v>
      </c>
      <c r="V46" s="1954">
        <v>45306</v>
      </c>
      <c r="W46" s="1954">
        <v>45657</v>
      </c>
      <c r="X46" s="1943" t="s">
        <v>5719</v>
      </c>
      <c r="Y46" s="3394"/>
    </row>
    <row r="47" spans="1:25" ht="51">
      <c r="A47" s="1934">
        <v>4173</v>
      </c>
      <c r="B47" s="1935">
        <v>54030010005</v>
      </c>
      <c r="C47" s="1956" t="s">
        <v>103</v>
      </c>
      <c r="D47" s="1957" t="s">
        <v>4477</v>
      </c>
      <c r="E47" s="1937"/>
      <c r="F47" s="1992">
        <v>1</v>
      </c>
      <c r="G47" s="1960"/>
      <c r="H47" s="1983">
        <v>1</v>
      </c>
      <c r="I47" s="1943"/>
      <c r="J47" s="1943"/>
      <c r="K47" s="1946"/>
      <c r="L47" s="1948"/>
      <c r="M47" s="1949"/>
      <c r="N47" s="1948"/>
      <c r="O47" s="1958"/>
      <c r="P47" s="1945"/>
      <c r="Q47" s="1949"/>
      <c r="R47" s="1949"/>
      <c r="S47" s="1949"/>
      <c r="T47" s="1959"/>
      <c r="U47" s="1959"/>
      <c r="V47" s="1951"/>
      <c r="W47" s="1951"/>
      <c r="X47" s="1943"/>
      <c r="Y47" s="1945"/>
    </row>
    <row r="48" spans="1:25" ht="16.5" customHeight="1">
      <c r="A48" s="1934"/>
      <c r="B48" s="1935"/>
      <c r="C48" s="1934" t="s">
        <v>451</v>
      </c>
      <c r="D48" s="3390" t="s">
        <v>4478</v>
      </c>
      <c r="E48" s="1937" t="s">
        <v>4479</v>
      </c>
      <c r="F48" s="1937"/>
      <c r="G48" s="1960"/>
      <c r="H48" s="1992">
        <f>+H49</f>
        <v>0.55000000000000004</v>
      </c>
      <c r="I48" s="1943"/>
      <c r="J48" s="1943"/>
      <c r="K48" s="1945">
        <f>K49</f>
        <v>524</v>
      </c>
      <c r="L48" s="1948">
        <f>SUM(L49:L50)</f>
        <v>1</v>
      </c>
      <c r="M48" s="1949">
        <v>524</v>
      </c>
      <c r="N48" s="1952">
        <f>+N49+N50</f>
        <v>0.58901989754286355</v>
      </c>
      <c r="O48" s="3386">
        <f>IF(Q48&gt;0,N48,"na")</f>
        <v>0.58901989754286355</v>
      </c>
      <c r="P48" s="1949">
        <f>SUM(P49:P50)</f>
        <v>1800000000</v>
      </c>
      <c r="Q48" s="1949">
        <f>SUM(Q49:Q50)</f>
        <v>1800000000</v>
      </c>
      <c r="R48" s="1949">
        <f>SUM(R49:R50)</f>
        <v>1313969000</v>
      </c>
      <c r="S48" s="1949">
        <f>SUM(S49:S50)</f>
        <v>692931995</v>
      </c>
      <c r="T48" s="1950">
        <f t="shared" ref="T48:U50" si="6">IF(Q48=0,0,R48/Q48)</f>
        <v>0.72998277777777776</v>
      </c>
      <c r="U48" s="1950">
        <f t="shared" si="6"/>
        <v>0.52735794756192877</v>
      </c>
      <c r="V48" s="1951"/>
      <c r="W48" s="1951"/>
      <c r="X48" s="1943"/>
      <c r="Y48" s="3388" t="s">
        <v>4423</v>
      </c>
    </row>
    <row r="49" spans="1:25" ht="108" customHeight="1">
      <c r="A49" s="1934"/>
      <c r="B49" s="1935"/>
      <c r="C49" s="1934"/>
      <c r="D49" s="3390"/>
      <c r="E49" s="1937" t="s">
        <v>4480</v>
      </c>
      <c r="F49" s="1937"/>
      <c r="G49" s="1939" t="s">
        <v>4477</v>
      </c>
      <c r="H49" s="1993">
        <v>0.55000000000000004</v>
      </c>
      <c r="I49" s="1943" t="s">
        <v>4481</v>
      </c>
      <c r="J49" s="1943" t="s">
        <v>3359</v>
      </c>
      <c r="K49" s="1945">
        <v>524</v>
      </c>
      <c r="L49" s="1948">
        <v>0.5</v>
      </c>
      <c r="M49" s="1949">
        <v>290</v>
      </c>
      <c r="N49" s="1991">
        <f>L49/K49*M49</f>
        <v>0.27671755725190839</v>
      </c>
      <c r="O49" s="3391"/>
      <c r="P49" s="1949">
        <v>443052000</v>
      </c>
      <c r="Q49" s="1949">
        <v>443052000</v>
      </c>
      <c r="R49" s="1949">
        <v>294062000</v>
      </c>
      <c r="S49" s="1949">
        <v>162398000</v>
      </c>
      <c r="T49" s="1950">
        <f t="shared" si="6"/>
        <v>0.66371893141211413</v>
      </c>
      <c r="U49" s="1950">
        <f t="shared" si="6"/>
        <v>0.55225768715440959</v>
      </c>
      <c r="V49" s="1954">
        <v>45306</v>
      </c>
      <c r="W49" s="1954">
        <v>45657</v>
      </c>
      <c r="X49" s="1943" t="s">
        <v>5720</v>
      </c>
      <c r="Y49" s="3393"/>
    </row>
    <row r="50" spans="1:25" ht="67.5">
      <c r="A50" s="1934"/>
      <c r="B50" s="1935"/>
      <c r="C50" s="1934"/>
      <c r="D50" s="3390"/>
      <c r="E50" s="1937" t="s">
        <v>4482</v>
      </c>
      <c r="F50" s="1937"/>
      <c r="G50" s="1994"/>
      <c r="H50" s="1992"/>
      <c r="I50" s="1943" t="s">
        <v>4483</v>
      </c>
      <c r="J50" s="1943" t="s">
        <v>106</v>
      </c>
      <c r="K50" s="1945">
        <v>3162</v>
      </c>
      <c r="L50" s="1948">
        <v>0.5</v>
      </c>
      <c r="M50" s="1949">
        <v>1975</v>
      </c>
      <c r="N50" s="1952">
        <f>L50/K50*M50</f>
        <v>0.3123023402909551</v>
      </c>
      <c r="O50" s="3392"/>
      <c r="P50" s="1949">
        <v>1356948000</v>
      </c>
      <c r="Q50" s="1949">
        <v>1356948000</v>
      </c>
      <c r="R50" s="1949">
        <v>1019907000</v>
      </c>
      <c r="S50" s="1949">
        <v>530533995</v>
      </c>
      <c r="T50" s="1950">
        <f t="shared" si="6"/>
        <v>0.75161833762237018</v>
      </c>
      <c r="U50" s="1950">
        <f t="shared" si="6"/>
        <v>0.52017879571372683</v>
      </c>
      <c r="V50" s="1954">
        <v>45306</v>
      </c>
      <c r="W50" s="1954">
        <v>45657</v>
      </c>
      <c r="X50" s="1943" t="s">
        <v>5721</v>
      </c>
      <c r="Y50" s="3394"/>
    </row>
    <row r="51" spans="1:25" ht="51">
      <c r="A51" s="1934">
        <v>4173</v>
      </c>
      <c r="B51" s="1935">
        <v>54030020002</v>
      </c>
      <c r="C51" s="1956" t="s">
        <v>103</v>
      </c>
      <c r="D51" s="1957" t="s">
        <v>4484</v>
      </c>
      <c r="E51" s="1937"/>
      <c r="F51" s="1937">
        <v>1</v>
      </c>
      <c r="G51" s="1960"/>
      <c r="H51" s="1937">
        <f>SUM(H52)</f>
        <v>0</v>
      </c>
      <c r="I51" s="1943"/>
      <c r="J51" s="1943"/>
      <c r="K51" s="1945"/>
      <c r="L51" s="1948"/>
      <c r="M51" s="1949"/>
      <c r="N51" s="1948"/>
      <c r="O51" s="1958"/>
      <c r="P51" s="1949"/>
      <c r="Q51" s="1949"/>
      <c r="R51" s="1949"/>
      <c r="S51" s="1949"/>
      <c r="T51" s="1959"/>
      <c r="U51" s="1959"/>
      <c r="V51" s="1951"/>
      <c r="W51" s="1951"/>
      <c r="X51" s="1943"/>
      <c r="Y51" s="1943"/>
    </row>
    <row r="52" spans="1:25" ht="16.5" customHeight="1">
      <c r="A52" s="1934"/>
      <c r="B52" s="1935"/>
      <c r="C52" s="1934" t="s">
        <v>451</v>
      </c>
      <c r="D52" s="3385" t="s">
        <v>4485</v>
      </c>
      <c r="E52" s="1937" t="s">
        <v>4486</v>
      </c>
      <c r="F52" s="1937"/>
      <c r="G52" s="1960"/>
      <c r="H52" s="3385">
        <v>0</v>
      </c>
      <c r="I52" s="1943"/>
      <c r="J52" s="1943"/>
      <c r="K52" s="1945"/>
      <c r="L52" s="1980">
        <f>SUM(L53)</f>
        <v>1</v>
      </c>
      <c r="M52" s="1949"/>
      <c r="N52" s="1948">
        <f>SUM(N53)</f>
        <v>0.53200000000000003</v>
      </c>
      <c r="O52" s="3386">
        <f>IF(Q52&gt;0,N52,"na")</f>
        <v>0.53200000000000003</v>
      </c>
      <c r="P52" s="1949">
        <f>SUM(P53)</f>
        <v>80000000</v>
      </c>
      <c r="Q52" s="1949">
        <f>SUM(Q53)</f>
        <v>80000000</v>
      </c>
      <c r="R52" s="1949">
        <f>SUM(R53)</f>
        <v>65464000</v>
      </c>
      <c r="S52" s="1949">
        <f>SUM(S53)</f>
        <v>40420000</v>
      </c>
      <c r="T52" s="1950">
        <f>IF(Q52=0,0,R52/Q52)</f>
        <v>0.81830000000000003</v>
      </c>
      <c r="U52" s="1950">
        <f>IF(R52=0,0,S52/R52)</f>
        <v>0.6174385922033484</v>
      </c>
      <c r="V52" s="1951"/>
      <c r="W52" s="1951"/>
      <c r="X52" s="1943"/>
      <c r="Y52" s="3388" t="s">
        <v>4423</v>
      </c>
    </row>
    <row r="53" spans="1:25" ht="108" customHeight="1">
      <c r="A53" s="1996"/>
      <c r="B53" s="1997"/>
      <c r="C53" s="1996"/>
      <c r="D53" s="3385"/>
      <c r="E53" s="1995" t="s">
        <v>4487</v>
      </c>
      <c r="F53" s="1995"/>
      <c r="G53" s="1998" t="s">
        <v>4488</v>
      </c>
      <c r="H53" s="3385"/>
      <c r="I53" s="1999" t="s">
        <v>4489</v>
      </c>
      <c r="J53" s="1999" t="s">
        <v>106</v>
      </c>
      <c r="K53" s="2000">
        <v>500</v>
      </c>
      <c r="L53" s="2001">
        <v>1</v>
      </c>
      <c r="M53" s="2000">
        <v>266</v>
      </c>
      <c r="N53" s="2001">
        <v>0.53200000000000003</v>
      </c>
      <c r="O53" s="3387"/>
      <c r="P53" s="2002">
        <v>80000000</v>
      </c>
      <c r="Q53" s="2002">
        <v>80000000</v>
      </c>
      <c r="R53" s="2002">
        <v>65464000</v>
      </c>
      <c r="S53" s="2002">
        <v>40420000</v>
      </c>
      <c r="T53" s="2003">
        <f>IF(Q53=0,0,R53/Q53)</f>
        <v>0.81830000000000003</v>
      </c>
      <c r="U53" s="2003">
        <f>IF(R53=0,0,S53/R53)</f>
        <v>0.6174385922033484</v>
      </c>
      <c r="V53" s="2004">
        <v>45323</v>
      </c>
      <c r="W53" s="2004">
        <v>45657</v>
      </c>
      <c r="X53" s="1999" t="s">
        <v>5722</v>
      </c>
      <c r="Y53" s="3389"/>
    </row>
    <row r="54" spans="1:25">
      <c r="A54" s="2005"/>
      <c r="B54" s="2006"/>
      <c r="C54" s="2005"/>
      <c r="D54" s="2007"/>
      <c r="E54" s="2005"/>
      <c r="F54" s="2008"/>
      <c r="G54" s="2008"/>
      <c r="H54" s="2008"/>
      <c r="I54" s="2008"/>
      <c r="J54" s="2005"/>
      <c r="K54" s="2007"/>
      <c r="L54" s="2007"/>
      <c r="M54" s="2008"/>
      <c r="N54" s="2008"/>
      <c r="O54" s="2009"/>
      <c r="P54" s="2008"/>
      <c r="Q54" s="2008"/>
      <c r="R54" s="2008"/>
      <c r="S54" s="2008"/>
      <c r="T54" s="2008"/>
      <c r="U54" s="2008"/>
      <c r="V54" s="2008"/>
      <c r="W54" s="2008"/>
      <c r="X54" s="2010"/>
      <c r="Y54" s="2010"/>
    </row>
    <row r="55" spans="1:25" s="45" customFormat="1" ht="13.5">
      <c r="A55" s="2005"/>
      <c r="B55" s="2011" t="s">
        <v>36</v>
      </c>
      <c r="C55" s="2005">
        <f>COUNTIF($C7:$C53,"Pr")</f>
        <v>9</v>
      </c>
      <c r="D55" s="2007"/>
      <c r="E55" s="2008" t="s">
        <v>112</v>
      </c>
      <c r="F55" s="2008"/>
      <c r="G55" s="2005">
        <f>COUNTIF(O7:O53,"na")</f>
        <v>0</v>
      </c>
      <c r="H55" s="2008"/>
      <c r="I55" s="2008"/>
      <c r="J55" s="2005"/>
      <c r="K55" s="2007"/>
      <c r="L55" s="2007"/>
      <c r="M55" s="2008"/>
      <c r="N55" s="2005" t="s">
        <v>113</v>
      </c>
      <c r="O55" s="2012">
        <f>AVERAGE(O11:O53)</f>
        <v>0.46687007870596375</v>
      </c>
      <c r="P55" s="2013">
        <f ca="1">SUMIF($C7:$C57,"Pr",P7:P53)</f>
        <v>13117917069</v>
      </c>
      <c r="Q55" s="2013">
        <f>SUMIF($C7:$C53,"Pr",Q7:Q53)</f>
        <v>17217917069</v>
      </c>
      <c r="R55" s="2013">
        <f ca="1">SUMIF($C7:$C57,"Pr",R7:R53)</f>
        <v>11641740234</v>
      </c>
      <c r="S55" s="2013">
        <f ca="1">SUMIF($C7:$C57,"Pr",S7:S53)</f>
        <v>5521536095</v>
      </c>
      <c r="T55" s="2014">
        <f ca="1">IF(Q55=0,0,R55/Q55)</f>
        <v>0.67614103304983231</v>
      </c>
      <c r="U55" s="2014">
        <f ca="1">IF(R55=0,0,S55/R55)</f>
        <v>0.474287862812315</v>
      </c>
      <c r="V55" s="2008"/>
      <c r="W55" s="2008"/>
      <c r="X55" s="2010"/>
      <c r="Y55" s="2010"/>
    </row>
    <row r="56" spans="1:25" s="45" customFormat="1" ht="13.5">
      <c r="A56" s="2005"/>
      <c r="B56" s="2006"/>
      <c r="C56" s="2005"/>
      <c r="D56" s="2007"/>
      <c r="E56" s="2005"/>
      <c r="F56" s="2008"/>
      <c r="G56" s="2008"/>
      <c r="H56" s="2008"/>
      <c r="I56" s="2008"/>
      <c r="J56" s="2005"/>
      <c r="K56" s="2007"/>
      <c r="L56" s="2007"/>
      <c r="M56" s="2007"/>
      <c r="N56" s="2015" t="s">
        <v>119</v>
      </c>
      <c r="O56" s="2016">
        <f>COUNTIF(O11:O53,"=0%")</f>
        <v>1</v>
      </c>
      <c r="P56" s="2008">
        <v>13117917069</v>
      </c>
      <c r="Q56" s="2013">
        <v>17217917069</v>
      </c>
      <c r="R56" s="2013">
        <v>11641740234</v>
      </c>
      <c r="S56" s="2013">
        <v>5521536095</v>
      </c>
      <c r="T56" s="2008"/>
      <c r="U56" s="2008"/>
      <c r="V56" s="2008"/>
      <c r="W56" s="2008"/>
      <c r="X56" s="2008"/>
      <c r="Y56" s="2010"/>
    </row>
    <row r="57" spans="1:25">
      <c r="A57" s="2005"/>
      <c r="B57" s="2008"/>
      <c r="C57" s="2005"/>
      <c r="D57" s="2007"/>
      <c r="E57" s="2008"/>
      <c r="F57" s="2008"/>
      <c r="G57" s="2008"/>
      <c r="H57" s="2008"/>
      <c r="I57" s="2008"/>
      <c r="J57" s="2005"/>
      <c r="K57" s="2007"/>
      <c r="L57" s="2007"/>
      <c r="M57" s="2007"/>
      <c r="N57" s="2008"/>
      <c r="O57" s="2017"/>
      <c r="Q57" s="2018"/>
      <c r="R57" s="2018"/>
      <c r="S57" s="2018"/>
      <c r="T57" s="2008"/>
      <c r="U57" s="2008"/>
      <c r="V57" s="2008"/>
      <c r="W57" s="2008"/>
      <c r="X57" s="2008"/>
      <c r="Y57" s="2010"/>
    </row>
  </sheetData>
  <autoFilter ref="A5:Y6" xr:uid="{00000000-0009-0000-0000-000019000000}"/>
  <mergeCells count="62">
    <mergeCell ref="N5:N6"/>
    <mergeCell ref="W5:W6"/>
    <mergeCell ref="D5:D6"/>
    <mergeCell ref="E5:E6"/>
    <mergeCell ref="F5:F6"/>
    <mergeCell ref="Q5:Q6"/>
    <mergeCell ref="G5:G6"/>
    <mergeCell ref="H5:H6"/>
    <mergeCell ref="R5:R6"/>
    <mergeCell ref="K5:K6"/>
    <mergeCell ref="L5:L6"/>
    <mergeCell ref="A2:Y2"/>
    <mergeCell ref="A3:B3"/>
    <mergeCell ref="C3:R3"/>
    <mergeCell ref="S3:U3"/>
    <mergeCell ref="V3:W3"/>
    <mergeCell ref="A1:X1"/>
    <mergeCell ref="O5:O6"/>
    <mergeCell ref="P5:P6"/>
    <mergeCell ref="I5:I6"/>
    <mergeCell ref="J5:J6"/>
    <mergeCell ref="M5:M6"/>
    <mergeCell ref="A4:Y4"/>
    <mergeCell ref="A5:A6"/>
    <mergeCell ref="B5:B6"/>
    <mergeCell ref="C5:C6"/>
    <mergeCell ref="X5:X6"/>
    <mergeCell ref="Y5:Y6"/>
    <mergeCell ref="S5:S6"/>
    <mergeCell ref="T5:T6"/>
    <mergeCell ref="U5:U6"/>
    <mergeCell ref="V5:V6"/>
    <mergeCell ref="D11:D13"/>
    <mergeCell ref="O11:O13"/>
    <mergeCell ref="Y11:Y13"/>
    <mergeCell ref="G12:G13"/>
    <mergeCell ref="D15:D17"/>
    <mergeCell ref="O15:O17"/>
    <mergeCell ref="Y15:Y17"/>
    <mergeCell ref="Y37:Y39"/>
    <mergeCell ref="D18:D19"/>
    <mergeCell ref="O18:O19"/>
    <mergeCell ref="Y18:Y19"/>
    <mergeCell ref="D24:D28"/>
    <mergeCell ref="O24:O28"/>
    <mergeCell ref="Y24:Y28"/>
    <mergeCell ref="G27:G28"/>
    <mergeCell ref="D32:D34"/>
    <mergeCell ref="O32:O34"/>
    <mergeCell ref="Y32:Y34"/>
    <mergeCell ref="D37:D39"/>
    <mergeCell ref="O37:O39"/>
    <mergeCell ref="D52:D53"/>
    <mergeCell ref="H52:H53"/>
    <mergeCell ref="O52:O53"/>
    <mergeCell ref="Y52:Y53"/>
    <mergeCell ref="D43:D46"/>
    <mergeCell ref="O43:O46"/>
    <mergeCell ref="Y43:Y46"/>
    <mergeCell ref="D48:D50"/>
    <mergeCell ref="O48:O50"/>
    <mergeCell ref="Y48:Y50"/>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Y30"/>
  <sheetViews>
    <sheetView topLeftCell="A26" zoomScaleNormal="100" zoomScaleSheetLayoutView="100" workbookViewId="0">
      <selection activeCell="C29" sqref="C29"/>
    </sheetView>
  </sheetViews>
  <sheetFormatPr baseColWidth="10" defaultColWidth="11.42578125" defaultRowHeight="16.5"/>
  <cols>
    <col min="1" max="1" width="13" style="2" customWidth="1"/>
    <col min="2" max="2" width="10.85546875" style="3" customWidth="1"/>
    <col min="3" max="3" width="8.5703125" style="2" customWidth="1"/>
    <col min="4" max="4" width="46.42578125" style="3" customWidth="1"/>
    <col min="5" max="5" width="13" style="3" customWidth="1"/>
    <col min="6" max="6" width="12.42578125" style="2" customWidth="1"/>
    <col min="7" max="7" width="18" style="3" customWidth="1"/>
    <col min="8" max="8" width="12.42578125" style="3" customWidth="1"/>
    <col min="9" max="9" width="17.7109375" style="3" customWidth="1"/>
    <col min="10" max="10" width="17.5703125" style="2" customWidth="1"/>
    <col min="11" max="12" width="13.140625" style="16" customWidth="1"/>
    <col min="13" max="13" width="12.7109375" style="16" customWidth="1"/>
    <col min="14" max="14" width="11.7109375" style="3" customWidth="1"/>
    <col min="15" max="15" width="12.7109375" style="2" customWidth="1"/>
    <col min="16" max="20" width="12.7109375" style="3" customWidth="1"/>
    <col min="21" max="23" width="10.7109375" style="3" customWidth="1"/>
    <col min="24" max="24" width="29.85546875" style="3" customWidth="1"/>
    <col min="25" max="25" width="14.140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61" customFormat="1" ht="24.95" customHeight="1">
      <c r="A3" s="2954" t="s">
        <v>255</v>
      </c>
      <c r="B3" s="2954"/>
      <c r="C3" s="2954" t="s">
        <v>265</v>
      </c>
      <c r="D3" s="2954"/>
      <c r="E3" s="2954"/>
      <c r="F3" s="2954"/>
      <c r="G3" s="2954"/>
      <c r="H3" s="2954"/>
      <c r="I3" s="2954"/>
      <c r="J3" s="2954"/>
      <c r="K3" s="2954"/>
      <c r="L3" s="2954"/>
      <c r="M3" s="2954"/>
      <c r="N3" s="2954"/>
      <c r="O3" s="2954"/>
      <c r="P3" s="2954"/>
      <c r="Q3" s="2954"/>
      <c r="R3" s="2954"/>
      <c r="S3" s="2954"/>
      <c r="T3" s="2834" t="s">
        <v>17</v>
      </c>
      <c r="U3" s="2834"/>
      <c r="V3" s="2835">
        <v>45473</v>
      </c>
      <c r="W3" s="2834"/>
      <c r="X3" s="40" t="s">
        <v>5</v>
      </c>
      <c r="Y3" s="42">
        <v>2024</v>
      </c>
    </row>
    <row r="4" spans="1:25" s="57" customFormat="1" ht="25.5" customHeight="1">
      <c r="A4" s="3402"/>
      <c r="B4" s="3402"/>
      <c r="C4" s="3402"/>
      <c r="D4" s="3402"/>
      <c r="E4" s="3402"/>
      <c r="F4" s="3402"/>
      <c r="G4" s="3402"/>
      <c r="H4" s="3402"/>
      <c r="I4" s="3402"/>
      <c r="J4" s="3402"/>
      <c r="K4" s="3402"/>
      <c r="L4" s="3402"/>
      <c r="M4" s="3402"/>
      <c r="N4" s="3402"/>
      <c r="O4" s="3402"/>
      <c r="P4" s="3402"/>
      <c r="Q4" s="3402"/>
      <c r="R4" s="3402"/>
      <c r="S4" s="3402"/>
      <c r="T4" s="3402"/>
      <c r="U4" s="3402"/>
      <c r="V4" s="3402"/>
      <c r="W4" s="3402"/>
      <c r="X4" s="3402"/>
    </row>
    <row r="5" spans="1:25" s="57" customFormat="1" ht="53.25" customHeight="1">
      <c r="A5" s="2836" t="s">
        <v>74</v>
      </c>
      <c r="B5" s="2836" t="s">
        <v>4</v>
      </c>
      <c r="C5" s="2836" t="s">
        <v>3</v>
      </c>
      <c r="D5" s="2836" t="s">
        <v>94</v>
      </c>
      <c r="E5" s="2836" t="s">
        <v>2</v>
      </c>
      <c r="F5" s="2836" t="s">
        <v>75</v>
      </c>
      <c r="G5" s="2836" t="s">
        <v>92</v>
      </c>
      <c r="H5" s="2836" t="s">
        <v>93</v>
      </c>
      <c r="I5" s="2836" t="s">
        <v>8</v>
      </c>
      <c r="J5" s="2836" t="s">
        <v>9</v>
      </c>
      <c r="K5" s="2836" t="s">
        <v>10</v>
      </c>
      <c r="L5" s="3006" t="s">
        <v>11</v>
      </c>
      <c r="M5" s="2838" t="s">
        <v>86</v>
      </c>
      <c r="N5" s="3007" t="s">
        <v>12</v>
      </c>
      <c r="O5" s="3007" t="s">
        <v>72</v>
      </c>
      <c r="P5" s="3008" t="s">
        <v>1</v>
      </c>
      <c r="Q5" s="3007" t="s">
        <v>13</v>
      </c>
      <c r="R5" s="3007" t="s">
        <v>14</v>
      </c>
      <c r="S5" s="3007" t="s">
        <v>16</v>
      </c>
      <c r="T5" s="3007" t="s">
        <v>15</v>
      </c>
      <c r="U5" s="3007" t="s">
        <v>89</v>
      </c>
      <c r="V5" s="3008" t="s">
        <v>6</v>
      </c>
      <c r="W5" s="3008" t="s">
        <v>7</v>
      </c>
      <c r="X5" s="3007" t="s">
        <v>0</v>
      </c>
      <c r="Y5" s="2848" t="s">
        <v>76</v>
      </c>
    </row>
    <row r="6" spans="1:25" s="57" customFormat="1" ht="42.75" customHeight="1">
      <c r="A6" s="2836"/>
      <c r="B6" s="2836"/>
      <c r="C6" s="2836"/>
      <c r="D6" s="2836"/>
      <c r="E6" s="2836"/>
      <c r="F6" s="2836"/>
      <c r="G6" s="2836"/>
      <c r="H6" s="2836"/>
      <c r="I6" s="2836"/>
      <c r="J6" s="2836"/>
      <c r="K6" s="2836"/>
      <c r="L6" s="2941"/>
      <c r="M6" s="2838"/>
      <c r="N6" s="2939"/>
      <c r="O6" s="2939"/>
      <c r="P6" s="2945"/>
      <c r="Q6" s="2939"/>
      <c r="R6" s="2939"/>
      <c r="S6" s="2939"/>
      <c r="T6" s="2939"/>
      <c r="U6" s="2939"/>
      <c r="V6" s="2945"/>
      <c r="W6" s="2945"/>
      <c r="X6" s="2939"/>
      <c r="Y6" s="2956"/>
    </row>
    <row r="7" spans="1:25">
      <c r="A7" s="111"/>
      <c r="B7" s="82">
        <v>54</v>
      </c>
      <c r="C7" s="82" t="s">
        <v>100</v>
      </c>
      <c r="D7" s="1410" t="s">
        <v>4490</v>
      </c>
      <c r="E7" s="101"/>
      <c r="F7" s="88"/>
      <c r="G7" s="88"/>
      <c r="H7" s="88"/>
      <c r="I7" s="88"/>
      <c r="J7" s="88"/>
      <c r="K7" s="88"/>
      <c r="L7" s="88"/>
      <c r="M7" s="76"/>
      <c r="N7" s="101"/>
      <c r="O7" s="101"/>
      <c r="P7" s="88"/>
      <c r="Q7" s="88"/>
      <c r="R7" s="88"/>
      <c r="S7" s="88"/>
      <c r="T7" s="88"/>
      <c r="U7" s="88"/>
      <c r="V7" s="88"/>
      <c r="W7" s="88"/>
      <c r="X7" s="88"/>
      <c r="Y7" s="88"/>
    </row>
    <row r="8" spans="1:25">
      <c r="A8" s="88"/>
      <c r="B8" s="82">
        <v>5401</v>
      </c>
      <c r="C8" s="82" t="s">
        <v>101</v>
      </c>
      <c r="D8" s="81" t="s">
        <v>120</v>
      </c>
      <c r="E8" s="101"/>
      <c r="F8" s="88"/>
      <c r="G8" s="88"/>
      <c r="H8" s="88"/>
      <c r="I8" s="88"/>
      <c r="J8" s="88"/>
      <c r="K8" s="88"/>
      <c r="L8" s="88"/>
      <c r="M8" s="76"/>
      <c r="N8" s="141"/>
      <c r="O8" s="141"/>
      <c r="P8" s="71"/>
      <c r="Q8" s="88"/>
      <c r="R8" s="88"/>
      <c r="S8" s="88"/>
      <c r="T8" s="88"/>
      <c r="U8" s="88"/>
      <c r="V8" s="88"/>
      <c r="W8" s="88"/>
      <c r="X8" s="88"/>
      <c r="Y8" s="88"/>
    </row>
    <row r="9" spans="1:25">
      <c r="A9" s="88"/>
      <c r="B9" s="94">
        <v>5401001</v>
      </c>
      <c r="C9" s="94" t="s">
        <v>102</v>
      </c>
      <c r="D9" s="93" t="s">
        <v>188</v>
      </c>
      <c r="E9" s="101"/>
      <c r="F9" s="88"/>
      <c r="G9" s="88"/>
      <c r="H9" s="88"/>
      <c r="I9" s="88"/>
      <c r="J9" s="88"/>
      <c r="K9" s="88"/>
      <c r="L9" s="88"/>
      <c r="M9" s="76"/>
      <c r="N9" s="141"/>
      <c r="O9" s="141"/>
      <c r="P9" s="71"/>
      <c r="Q9" s="88"/>
      <c r="R9" s="88"/>
      <c r="S9" s="88"/>
      <c r="T9" s="88"/>
      <c r="U9" s="88"/>
      <c r="V9" s="88"/>
      <c r="W9" s="88"/>
      <c r="X9" s="88"/>
      <c r="Y9" s="88"/>
    </row>
    <row r="10" spans="1:25">
      <c r="A10" s="88"/>
      <c r="B10" s="112">
        <v>54010010003</v>
      </c>
      <c r="C10" s="112" t="s">
        <v>103</v>
      </c>
      <c r="D10" s="71" t="s">
        <v>4491</v>
      </c>
      <c r="E10" s="101"/>
      <c r="F10" s="275">
        <f>0.5-0.245</f>
        <v>0.255</v>
      </c>
      <c r="G10" s="88"/>
      <c r="H10" s="98"/>
      <c r="I10" s="88"/>
      <c r="J10" s="88"/>
      <c r="K10" s="88"/>
      <c r="L10" s="88"/>
      <c r="M10" s="76"/>
      <c r="N10" s="101"/>
      <c r="O10" s="101"/>
      <c r="P10" s="88"/>
      <c r="Q10" s="88"/>
      <c r="R10" s="88"/>
      <c r="S10" s="88"/>
      <c r="T10" s="88"/>
      <c r="U10" s="88"/>
      <c r="V10" s="88"/>
      <c r="W10" s="88"/>
      <c r="X10" s="88"/>
      <c r="Y10" s="88"/>
    </row>
    <row r="11" spans="1:25">
      <c r="A11" s="2853">
        <v>4181</v>
      </c>
      <c r="B11" s="2995"/>
      <c r="C11" s="2995" t="s">
        <v>451</v>
      </c>
      <c r="D11" s="2921" t="s">
        <v>4492</v>
      </c>
      <c r="E11" s="128" t="s">
        <v>4493</v>
      </c>
      <c r="F11" s="110"/>
      <c r="G11" s="110"/>
      <c r="H11" s="1443">
        <f>+H12</f>
        <v>0.14000000000000001</v>
      </c>
      <c r="I11" s="92"/>
      <c r="J11" s="92"/>
      <c r="K11" s="1633">
        <f>+K12</f>
        <v>1100</v>
      </c>
      <c r="L11" s="228">
        <f>SUM(L12:L14)</f>
        <v>1</v>
      </c>
      <c r="M11" s="76">
        <f>+M12</f>
        <v>0</v>
      </c>
      <c r="N11" s="654">
        <f>SUM(N12:N14)</f>
        <v>0</v>
      </c>
      <c r="O11" s="101"/>
      <c r="P11" s="74">
        <f t="shared" ref="P11:S11" si="0">SUM(P12:P14)</f>
        <v>1917893488</v>
      </c>
      <c r="Q11" s="74">
        <f t="shared" si="0"/>
        <v>1186359482</v>
      </c>
      <c r="R11" s="74">
        <f t="shared" si="0"/>
        <v>0</v>
      </c>
      <c r="S11" s="74">
        <f t="shared" si="0"/>
        <v>0</v>
      </c>
      <c r="T11" s="215">
        <f t="shared" ref="T11:U14" si="1">IF(Q11=0,0,R11/Q11)</f>
        <v>0</v>
      </c>
      <c r="U11" s="215">
        <f t="shared" si="1"/>
        <v>0</v>
      </c>
      <c r="V11" s="73"/>
      <c r="W11" s="73"/>
      <c r="X11" s="88"/>
      <c r="Y11" s="88"/>
    </row>
    <row r="12" spans="1:25" ht="81">
      <c r="A12" s="3009"/>
      <c r="B12" s="3009"/>
      <c r="C12" s="3009"/>
      <c r="D12" s="3009"/>
      <c r="E12" s="128" t="s">
        <v>4494</v>
      </c>
      <c r="F12" s="110"/>
      <c r="G12" s="110" t="s">
        <v>4495</v>
      </c>
      <c r="H12" s="1443">
        <v>0.14000000000000001</v>
      </c>
      <c r="I12" s="92" t="s">
        <v>4496</v>
      </c>
      <c r="J12" s="110" t="s">
        <v>4497</v>
      </c>
      <c r="K12" s="1633">
        <v>1100</v>
      </c>
      <c r="L12" s="228">
        <v>0.5</v>
      </c>
      <c r="M12" s="76">
        <v>0</v>
      </c>
      <c r="N12" s="654">
        <v>0</v>
      </c>
      <c r="O12" s="3401">
        <f>IF(Q11&gt;0,N11,"na")</f>
        <v>0</v>
      </c>
      <c r="P12" s="216">
        <v>1224754410</v>
      </c>
      <c r="Q12" s="216">
        <v>493220404</v>
      </c>
      <c r="R12" s="74">
        <v>0</v>
      </c>
      <c r="S12" s="74">
        <v>0</v>
      </c>
      <c r="T12" s="215">
        <f t="shared" si="1"/>
        <v>0</v>
      </c>
      <c r="U12" s="215">
        <f t="shared" si="1"/>
        <v>0</v>
      </c>
      <c r="V12" s="73"/>
      <c r="W12" s="73"/>
      <c r="X12" s="88"/>
      <c r="Y12" s="3112" t="s">
        <v>4498</v>
      </c>
    </row>
    <row r="13" spans="1:25" ht="81">
      <c r="A13" s="3009"/>
      <c r="B13" s="3009"/>
      <c r="C13" s="3009"/>
      <c r="D13" s="3009"/>
      <c r="E13" s="128" t="s">
        <v>4499</v>
      </c>
      <c r="F13" s="92"/>
      <c r="G13" s="92"/>
      <c r="H13" s="92"/>
      <c r="I13" s="92" t="s">
        <v>4500</v>
      </c>
      <c r="J13" s="110" t="s">
        <v>4501</v>
      </c>
      <c r="K13" s="92">
        <v>1</v>
      </c>
      <c r="L13" s="228">
        <v>0.25</v>
      </c>
      <c r="M13" s="76">
        <v>0</v>
      </c>
      <c r="N13" s="654">
        <v>0</v>
      </c>
      <c r="O13" s="3009"/>
      <c r="P13" s="216">
        <v>392151211</v>
      </c>
      <c r="Q13" s="216">
        <v>392151211</v>
      </c>
      <c r="R13" s="74">
        <v>0</v>
      </c>
      <c r="S13" s="74">
        <v>0</v>
      </c>
      <c r="T13" s="215">
        <f t="shared" si="1"/>
        <v>0</v>
      </c>
      <c r="U13" s="215">
        <f t="shared" si="1"/>
        <v>0</v>
      </c>
      <c r="V13" s="73"/>
      <c r="W13" s="73"/>
      <c r="X13" s="88"/>
      <c r="Y13" s="3009"/>
    </row>
    <row r="14" spans="1:25" ht="81">
      <c r="A14" s="3010"/>
      <c r="B14" s="3010"/>
      <c r="C14" s="3010"/>
      <c r="D14" s="3010"/>
      <c r="E14" s="128" t="s">
        <v>4502</v>
      </c>
      <c r="F14" s="92"/>
      <c r="G14" s="92"/>
      <c r="H14" s="92"/>
      <c r="I14" s="92" t="s">
        <v>4503</v>
      </c>
      <c r="J14" s="110" t="s">
        <v>548</v>
      </c>
      <c r="K14" s="92">
        <v>94</v>
      </c>
      <c r="L14" s="228">
        <v>0.25</v>
      </c>
      <c r="M14" s="76">
        <v>0</v>
      </c>
      <c r="N14" s="654">
        <v>0</v>
      </c>
      <c r="O14" s="3010"/>
      <c r="P14" s="216">
        <v>300987867</v>
      </c>
      <c r="Q14" s="216">
        <v>300987867</v>
      </c>
      <c r="R14" s="74">
        <v>0</v>
      </c>
      <c r="S14" s="74">
        <v>0</v>
      </c>
      <c r="T14" s="215">
        <f t="shared" si="1"/>
        <v>0</v>
      </c>
      <c r="U14" s="215">
        <f t="shared" si="1"/>
        <v>0</v>
      </c>
      <c r="V14" s="73"/>
      <c r="W14" s="73"/>
      <c r="X14" s="88"/>
      <c r="Y14" s="3010"/>
    </row>
    <row r="15" spans="1:25" s="321" customFormat="1" ht="15.75">
      <c r="A15" s="111"/>
      <c r="B15" s="112">
        <v>54020010035</v>
      </c>
      <c r="C15" s="112" t="s">
        <v>103</v>
      </c>
      <c r="D15" s="71" t="s">
        <v>4504</v>
      </c>
      <c r="E15" s="111"/>
      <c r="F15" s="111">
        <v>6</v>
      </c>
      <c r="G15" s="101"/>
      <c r="H15" s="111"/>
      <c r="I15" s="71"/>
      <c r="J15" s="71"/>
      <c r="K15" s="70"/>
      <c r="L15" s="70"/>
      <c r="M15" s="76"/>
      <c r="N15" s="654"/>
      <c r="O15" s="101"/>
      <c r="P15" s="135"/>
      <c r="Q15" s="135"/>
      <c r="R15" s="74"/>
      <c r="S15" s="74"/>
      <c r="T15" s="73"/>
      <c r="U15" s="73"/>
      <c r="V15" s="73"/>
      <c r="W15" s="73"/>
      <c r="X15" s="88"/>
      <c r="Y15" s="88"/>
    </row>
    <row r="16" spans="1:25" ht="16.5" customHeight="1">
      <c r="A16" s="2853">
        <v>4181</v>
      </c>
      <c r="B16" s="2995"/>
      <c r="C16" s="2995" t="s">
        <v>451</v>
      </c>
      <c r="D16" s="2921" t="s">
        <v>4505</v>
      </c>
      <c r="E16" s="128" t="s">
        <v>4506</v>
      </c>
      <c r="F16" s="92"/>
      <c r="G16" s="92"/>
      <c r="H16" s="128">
        <f>+H18</f>
        <v>1</v>
      </c>
      <c r="I16" s="92"/>
      <c r="J16" s="92"/>
      <c r="K16" s="92">
        <f>+K18</f>
        <v>1</v>
      </c>
      <c r="L16" s="218">
        <f>SUM(L17:L18)</f>
        <v>1</v>
      </c>
      <c r="M16" s="76"/>
      <c r="N16" s="654">
        <f>SUM(N17:N18)</f>
        <v>0</v>
      </c>
      <c r="O16" s="1412"/>
      <c r="P16" s="74">
        <f t="shared" ref="P16:S16" si="2">SUM(P17:P18)</f>
        <v>2673022862</v>
      </c>
      <c r="Q16" s="74">
        <f t="shared" si="2"/>
        <v>0</v>
      </c>
      <c r="R16" s="74">
        <f t="shared" si="2"/>
        <v>0</v>
      </c>
      <c r="S16" s="74">
        <f t="shared" si="2"/>
        <v>0</v>
      </c>
      <c r="T16" s="215">
        <f t="shared" ref="T16:U22" si="3">IF(Q16=0,0,R16/Q16)</f>
        <v>0</v>
      </c>
      <c r="U16" s="215">
        <f t="shared" si="3"/>
        <v>0</v>
      </c>
      <c r="V16" s="73"/>
      <c r="W16" s="73"/>
      <c r="X16" s="88"/>
      <c r="Y16" s="88"/>
    </row>
    <row r="17" spans="1:25" ht="94.5">
      <c r="A17" s="3009"/>
      <c r="B17" s="3009"/>
      <c r="C17" s="3009"/>
      <c r="D17" s="3009"/>
      <c r="E17" s="128" t="s">
        <v>4507</v>
      </c>
      <c r="F17" s="92"/>
      <c r="G17" s="92"/>
      <c r="H17" s="92"/>
      <c r="I17" s="92" t="s">
        <v>4508</v>
      </c>
      <c r="J17" s="92" t="s">
        <v>4509</v>
      </c>
      <c r="K17" s="92">
        <v>1</v>
      </c>
      <c r="L17" s="218">
        <v>0.3</v>
      </c>
      <c r="M17" s="88"/>
      <c r="N17" s="1268">
        <v>0</v>
      </c>
      <c r="O17" s="3401" t="str">
        <f>IF(Q16&gt;0,N16,"na")</f>
        <v>na</v>
      </c>
      <c r="P17" s="216">
        <v>276891968</v>
      </c>
      <c r="Q17" s="216">
        <v>0</v>
      </c>
      <c r="R17" s="74">
        <v>0</v>
      </c>
      <c r="S17" s="74">
        <v>0</v>
      </c>
      <c r="T17" s="215">
        <f t="shared" si="3"/>
        <v>0</v>
      </c>
      <c r="U17" s="215">
        <f t="shared" si="3"/>
        <v>0</v>
      </c>
      <c r="V17" s="73"/>
      <c r="W17" s="73"/>
      <c r="X17" s="88"/>
      <c r="Y17" s="3112" t="s">
        <v>4498</v>
      </c>
    </row>
    <row r="18" spans="1:25" ht="16.5" customHeight="1">
      <c r="A18" s="3010"/>
      <c r="B18" s="3010"/>
      <c r="C18" s="3010"/>
      <c r="D18" s="3010"/>
      <c r="E18" s="128" t="s">
        <v>4510</v>
      </c>
      <c r="F18" s="92"/>
      <c r="G18" s="92" t="s">
        <v>4504</v>
      </c>
      <c r="H18" s="128">
        <v>1</v>
      </c>
      <c r="I18" s="92" t="s">
        <v>4511</v>
      </c>
      <c r="J18" s="92" t="s">
        <v>1843</v>
      </c>
      <c r="K18" s="92">
        <v>1</v>
      </c>
      <c r="L18" s="218">
        <v>0.7</v>
      </c>
      <c r="M18" s="88"/>
      <c r="N18" s="1268">
        <v>0</v>
      </c>
      <c r="O18" s="3010"/>
      <c r="P18" s="216">
        <v>2396130894</v>
      </c>
      <c r="Q18" s="135">
        <v>0</v>
      </c>
      <c r="R18" s="74">
        <v>0</v>
      </c>
      <c r="S18" s="74">
        <v>0</v>
      </c>
      <c r="T18" s="215">
        <f t="shared" si="3"/>
        <v>0</v>
      </c>
      <c r="U18" s="215">
        <f t="shared" si="3"/>
        <v>0</v>
      </c>
      <c r="V18" s="73"/>
      <c r="W18" s="73"/>
      <c r="X18" s="88"/>
      <c r="Y18" s="3010"/>
    </row>
    <row r="19" spans="1:25" ht="16.5" customHeight="1">
      <c r="A19" s="2849">
        <v>4181</v>
      </c>
      <c r="B19" s="2849"/>
      <c r="C19" s="2849" t="s">
        <v>451</v>
      </c>
      <c r="D19" s="2921" t="s">
        <v>5723</v>
      </c>
      <c r="E19" s="1416" t="s">
        <v>5724</v>
      </c>
      <c r="F19" s="72"/>
      <c r="G19" s="73"/>
      <c r="H19" s="72">
        <f>+H20</f>
        <v>1</v>
      </c>
      <c r="I19" s="1461"/>
      <c r="J19" s="1461"/>
      <c r="K19" s="74">
        <v>1</v>
      </c>
      <c r="L19" s="75">
        <f>SUM(L20)</f>
        <v>1</v>
      </c>
      <c r="M19" s="74"/>
      <c r="N19" s="75">
        <f>SUM(N20)</f>
        <v>0</v>
      </c>
      <c r="O19" s="2983">
        <f>IF(Q19&gt;0,N19,"na")</f>
        <v>0</v>
      </c>
      <c r="P19" s="74">
        <f t="shared" ref="P19:S19" si="4">SUM(P20)</f>
        <v>0</v>
      </c>
      <c r="Q19" s="74">
        <f t="shared" si="4"/>
        <v>158361630</v>
      </c>
      <c r="R19" s="74">
        <f t="shared" si="4"/>
        <v>0</v>
      </c>
      <c r="S19" s="74">
        <f t="shared" si="4"/>
        <v>0</v>
      </c>
      <c r="T19" s="75">
        <f t="shared" si="3"/>
        <v>0</v>
      </c>
      <c r="U19" s="75">
        <f t="shared" si="3"/>
        <v>0</v>
      </c>
      <c r="V19" s="1731"/>
      <c r="W19" s="606"/>
      <c r="X19" s="92"/>
      <c r="Y19" s="92"/>
    </row>
    <row r="20" spans="1:25" ht="67.5">
      <c r="A20" s="3010"/>
      <c r="B20" s="3010"/>
      <c r="C20" s="3010"/>
      <c r="D20" s="3010"/>
      <c r="E20" s="1416" t="s">
        <v>5725</v>
      </c>
      <c r="F20" s="99"/>
      <c r="G20" s="110"/>
      <c r="H20" s="72">
        <v>1</v>
      </c>
      <c r="I20" s="110" t="s">
        <v>5726</v>
      </c>
      <c r="J20" s="110" t="s">
        <v>2253</v>
      </c>
      <c r="K20" s="73">
        <v>1</v>
      </c>
      <c r="L20" s="215">
        <v>1</v>
      </c>
      <c r="M20" s="2019">
        <v>0</v>
      </c>
      <c r="N20" s="1444">
        <v>0</v>
      </c>
      <c r="O20" s="3010"/>
      <c r="P20" s="74">
        <v>0</v>
      </c>
      <c r="Q20" s="133">
        <v>158361630</v>
      </c>
      <c r="R20" s="133">
        <v>0</v>
      </c>
      <c r="S20" s="133">
        <v>0</v>
      </c>
      <c r="T20" s="75">
        <f t="shared" si="3"/>
        <v>0</v>
      </c>
      <c r="U20" s="75">
        <f t="shared" si="3"/>
        <v>0</v>
      </c>
      <c r="V20" s="606"/>
      <c r="W20" s="2020"/>
      <c r="X20" s="71"/>
      <c r="Y20" s="128"/>
    </row>
    <row r="21" spans="1:25" ht="16.5" customHeight="1">
      <c r="A21" s="2853">
        <v>4181</v>
      </c>
      <c r="B21" s="2853"/>
      <c r="C21" s="2853" t="s">
        <v>451</v>
      </c>
      <c r="D21" s="2921" t="s">
        <v>5727</v>
      </c>
      <c r="E21" s="72" t="s">
        <v>5728</v>
      </c>
      <c r="F21" s="128"/>
      <c r="G21" s="92"/>
      <c r="H21" s="128">
        <f>H22</f>
        <v>1</v>
      </c>
      <c r="I21" s="110"/>
      <c r="J21" s="110"/>
      <c r="K21" s="1633">
        <f>+K22</f>
        <v>1</v>
      </c>
      <c r="L21" s="218">
        <f>SUM(L22)</f>
        <v>1</v>
      </c>
      <c r="M21" s="2019"/>
      <c r="N21" s="2021">
        <f>SUM(N22)</f>
        <v>0.9375</v>
      </c>
      <c r="O21" s="3400">
        <f>IF(Q21&gt;0,N21,"na")</f>
        <v>0.9375</v>
      </c>
      <c r="P21" s="2019">
        <f t="shared" ref="P21:S21" si="5">SUM(P22)</f>
        <v>0</v>
      </c>
      <c r="Q21" s="2019">
        <f t="shared" si="5"/>
        <v>288600228</v>
      </c>
      <c r="R21" s="2019">
        <f t="shared" si="5"/>
        <v>288600228</v>
      </c>
      <c r="S21" s="2019">
        <f t="shared" si="5"/>
        <v>72578014</v>
      </c>
      <c r="T21" s="75">
        <f t="shared" si="3"/>
        <v>1</v>
      </c>
      <c r="U21" s="75">
        <f t="shared" si="3"/>
        <v>0.25148287131637331</v>
      </c>
      <c r="V21" s="1731"/>
      <c r="W21" s="606"/>
      <c r="X21" s="1259"/>
      <c r="Y21" s="1259"/>
    </row>
    <row r="22" spans="1:25" ht="16.5" customHeight="1">
      <c r="A22" s="3010"/>
      <c r="B22" s="3010"/>
      <c r="C22" s="3010"/>
      <c r="D22" s="3010"/>
      <c r="E22" s="933" t="s">
        <v>5729</v>
      </c>
      <c r="F22" s="935"/>
      <c r="G22" s="1156" t="s">
        <v>5730</v>
      </c>
      <c r="H22" s="935">
        <v>1</v>
      </c>
      <c r="I22" s="1156" t="s">
        <v>5731</v>
      </c>
      <c r="J22" s="1156" t="s">
        <v>2253</v>
      </c>
      <c r="K22" s="934">
        <v>1</v>
      </c>
      <c r="L22" s="2022">
        <v>1</v>
      </c>
      <c r="M22" s="1289">
        <v>0</v>
      </c>
      <c r="N22" s="2023">
        <v>0.9375</v>
      </c>
      <c r="O22" s="3010"/>
      <c r="P22" s="1289">
        <v>0</v>
      </c>
      <c r="Q22" s="1289">
        <v>288600228</v>
      </c>
      <c r="R22" s="1289">
        <v>288600228</v>
      </c>
      <c r="S22" s="1289">
        <v>72578014</v>
      </c>
      <c r="T22" s="857">
        <f t="shared" si="3"/>
        <v>1</v>
      </c>
      <c r="U22" s="857">
        <f t="shared" si="3"/>
        <v>0.25148287131637331</v>
      </c>
      <c r="V22" s="606">
        <v>45292</v>
      </c>
      <c r="W22" s="2024">
        <v>45565</v>
      </c>
      <c r="X22" s="71" t="s">
        <v>5732</v>
      </c>
      <c r="Y22" s="937" t="s">
        <v>4498</v>
      </c>
    </row>
    <row r="23" spans="1:25">
      <c r="A23" s="88"/>
      <c r="B23" s="112">
        <v>54020010037</v>
      </c>
      <c r="C23" s="112" t="s">
        <v>103</v>
      </c>
      <c r="D23" s="71" t="s">
        <v>4512</v>
      </c>
      <c r="E23" s="101"/>
      <c r="F23" s="275">
        <v>1.4E-2</v>
      </c>
      <c r="G23" s="88"/>
      <c r="H23" s="275"/>
      <c r="I23" s="88"/>
      <c r="J23" s="88"/>
      <c r="K23" s="88"/>
      <c r="L23" s="88"/>
      <c r="M23" s="88"/>
      <c r="N23" s="1268"/>
      <c r="O23" s="2025"/>
      <c r="P23" s="135"/>
      <c r="Q23" s="135"/>
      <c r="R23" s="74"/>
      <c r="S23" s="74"/>
      <c r="T23" s="73"/>
      <c r="U23" s="73"/>
      <c r="V23" s="73"/>
      <c r="W23" s="73"/>
      <c r="X23" s="88"/>
      <c r="Y23" s="88"/>
    </row>
    <row r="24" spans="1:25" ht="16.5" customHeight="1">
      <c r="A24" s="2853">
        <v>4181</v>
      </c>
      <c r="B24" s="2853"/>
      <c r="C24" s="2853" t="s">
        <v>451</v>
      </c>
      <c r="D24" s="2921" t="s">
        <v>4513</v>
      </c>
      <c r="E24" s="128" t="s">
        <v>4514</v>
      </c>
      <c r="F24" s="92"/>
      <c r="G24" s="92"/>
      <c r="H24" s="936">
        <f>+H25</f>
        <v>1.4E-2</v>
      </c>
      <c r="I24" s="92"/>
      <c r="J24" s="128"/>
      <c r="K24" s="92">
        <f>+K25</f>
        <v>1120</v>
      </c>
      <c r="L24" s="218">
        <f>SUM(L25:L27)</f>
        <v>1</v>
      </c>
      <c r="M24" s="88"/>
      <c r="N24" s="1268">
        <f>SUM(N25:N27)</f>
        <v>0</v>
      </c>
      <c r="O24" s="2025"/>
      <c r="P24" s="74">
        <f t="shared" ref="P24:S24" si="6">SUM(P25:P27)</f>
        <v>301234861</v>
      </c>
      <c r="Q24" s="74">
        <f t="shared" si="6"/>
        <v>301234861</v>
      </c>
      <c r="R24" s="74">
        <f t="shared" si="6"/>
        <v>151829890</v>
      </c>
      <c r="S24" s="74">
        <f t="shared" si="6"/>
        <v>0</v>
      </c>
      <c r="T24" s="215">
        <f t="shared" ref="T24:U27" si="7">IF(Q24=0,0,R24/Q24)</f>
        <v>0.50402496409603803</v>
      </c>
      <c r="U24" s="215">
        <f t="shared" si="7"/>
        <v>0</v>
      </c>
      <c r="V24" s="73"/>
      <c r="W24" s="73"/>
      <c r="X24" s="88"/>
      <c r="Y24" s="88"/>
    </row>
    <row r="25" spans="1:25" ht="81">
      <c r="A25" s="3009"/>
      <c r="B25" s="3009"/>
      <c r="C25" s="3009"/>
      <c r="D25" s="3009"/>
      <c r="E25" s="128" t="s">
        <v>4515</v>
      </c>
      <c r="F25" s="92"/>
      <c r="G25" s="2852" t="s">
        <v>4516</v>
      </c>
      <c r="H25" s="2922">
        <v>1.4E-2</v>
      </c>
      <c r="I25" s="92" t="s">
        <v>4517</v>
      </c>
      <c r="J25" s="128" t="s">
        <v>4518</v>
      </c>
      <c r="K25" s="92">
        <v>1120</v>
      </c>
      <c r="L25" s="218">
        <v>0.45</v>
      </c>
      <c r="M25" s="88"/>
      <c r="N25" s="1268">
        <v>0</v>
      </c>
      <c r="O25" s="3404">
        <f>IF(Q24&gt;0,N24,"na")</f>
        <v>0</v>
      </c>
      <c r="P25" s="216">
        <v>139946800</v>
      </c>
      <c r="Q25" s="216">
        <v>124220000</v>
      </c>
      <c r="R25" s="74">
        <v>74800000</v>
      </c>
      <c r="S25" s="74">
        <v>0</v>
      </c>
      <c r="T25" s="215">
        <f t="shared" si="7"/>
        <v>0.60215746256641445</v>
      </c>
      <c r="U25" s="215">
        <f t="shared" si="7"/>
        <v>0</v>
      </c>
      <c r="V25" s="73"/>
      <c r="W25" s="73"/>
      <c r="X25" s="88"/>
      <c r="Y25" s="3112" t="s">
        <v>4498</v>
      </c>
    </row>
    <row r="26" spans="1:25" ht="54">
      <c r="A26" s="3009"/>
      <c r="B26" s="3009"/>
      <c r="C26" s="3009"/>
      <c r="D26" s="3009"/>
      <c r="E26" s="128" t="s">
        <v>4519</v>
      </c>
      <c r="F26" s="92"/>
      <c r="G26" s="3009"/>
      <c r="H26" s="3009"/>
      <c r="I26" s="92" t="s">
        <v>4520</v>
      </c>
      <c r="J26" s="128" t="s">
        <v>170</v>
      </c>
      <c r="K26" s="92">
        <v>1</v>
      </c>
      <c r="L26" s="218">
        <v>0.3</v>
      </c>
      <c r="M26" s="88"/>
      <c r="N26" s="1268">
        <v>0</v>
      </c>
      <c r="O26" s="3009"/>
      <c r="P26" s="216">
        <v>76504850</v>
      </c>
      <c r="Q26" s="216">
        <v>92231650</v>
      </c>
      <c r="R26" s="74">
        <v>77029890</v>
      </c>
      <c r="S26" s="74">
        <v>0</v>
      </c>
      <c r="T26" s="215">
        <f t="shared" si="7"/>
        <v>0.83517848807865847</v>
      </c>
      <c r="U26" s="215">
        <f t="shared" si="7"/>
        <v>0</v>
      </c>
      <c r="V26" s="73"/>
      <c r="W26" s="73"/>
      <c r="X26" s="88"/>
      <c r="Y26" s="3009"/>
    </row>
    <row r="27" spans="1:25" ht="16.5" customHeight="1">
      <c r="A27" s="3010"/>
      <c r="B27" s="3010"/>
      <c r="C27" s="3010"/>
      <c r="D27" s="3010"/>
      <c r="E27" s="128" t="s">
        <v>4521</v>
      </c>
      <c r="F27" s="92"/>
      <c r="G27" s="3010"/>
      <c r="H27" s="3010"/>
      <c r="I27" s="92" t="s">
        <v>4522</v>
      </c>
      <c r="J27" s="128" t="s">
        <v>4523</v>
      </c>
      <c r="K27" s="92">
        <v>1</v>
      </c>
      <c r="L27" s="218">
        <v>0.25</v>
      </c>
      <c r="M27" s="88"/>
      <c r="N27" s="1268">
        <v>0</v>
      </c>
      <c r="O27" s="3010"/>
      <c r="P27" s="216">
        <v>84783211</v>
      </c>
      <c r="Q27" s="216">
        <v>84783211</v>
      </c>
      <c r="R27" s="74">
        <v>0</v>
      </c>
      <c r="S27" s="74">
        <v>0</v>
      </c>
      <c r="T27" s="215">
        <f t="shared" si="7"/>
        <v>0</v>
      </c>
      <c r="U27" s="215">
        <f t="shared" si="7"/>
        <v>0</v>
      </c>
      <c r="V27" s="73"/>
      <c r="W27" s="73"/>
      <c r="X27" s="88"/>
      <c r="Y27" s="3010"/>
    </row>
    <row r="28" spans="1:25">
      <c r="A28" s="51"/>
      <c r="B28" s="52"/>
      <c r="C28" s="52"/>
      <c r="D28" s="56"/>
      <c r="E28" s="51"/>
      <c r="F28" s="51"/>
      <c r="G28" s="51"/>
      <c r="H28" s="51"/>
      <c r="I28" s="51"/>
      <c r="J28" s="52"/>
      <c r="K28" s="51"/>
      <c r="L28" s="51"/>
      <c r="M28" s="51"/>
      <c r="N28" s="51"/>
      <c r="O28" s="51"/>
      <c r="P28" s="51"/>
      <c r="Q28" s="51"/>
      <c r="R28" s="51"/>
      <c r="S28" s="51"/>
      <c r="T28" s="51"/>
      <c r="U28" s="51"/>
      <c r="V28" s="51"/>
      <c r="W28" s="51"/>
      <c r="X28" s="51"/>
      <c r="Y28" s="51"/>
    </row>
    <row r="29" spans="1:25" ht="16.5" customHeight="1">
      <c r="A29" s="51"/>
      <c r="B29" s="109" t="s">
        <v>36</v>
      </c>
      <c r="C29" s="109">
        <f>COUNTIF(C7:C27,"Pr")</f>
        <v>5</v>
      </c>
      <c r="D29" s="56"/>
      <c r="E29" s="3403" t="s">
        <v>112</v>
      </c>
      <c r="F29" s="3304"/>
      <c r="G29" s="109">
        <f>COUNTIF(O11:O27,"na")</f>
        <v>1</v>
      </c>
      <c r="H29" s="51"/>
      <c r="I29" s="51"/>
      <c r="J29" s="52"/>
      <c r="K29" s="51"/>
      <c r="L29" s="51"/>
      <c r="M29" s="51"/>
      <c r="N29" s="52" t="s">
        <v>1074</v>
      </c>
      <c r="O29" s="118">
        <f>AVERAGE(O11:O27)</f>
        <v>0.234375</v>
      </c>
      <c r="P29" s="54">
        <f t="shared" ref="P29:Q29" si="8">P24+P16+P11+P19+P21</f>
        <v>4892151211</v>
      </c>
      <c r="Q29" s="54">
        <f t="shared" si="8"/>
        <v>1934556201</v>
      </c>
      <c r="R29" s="54">
        <f>R24+R16+R11+R21</f>
        <v>440430118</v>
      </c>
      <c r="S29" s="54">
        <f>S24+S16+S11+S21+S19</f>
        <v>72578014</v>
      </c>
      <c r="T29" s="119">
        <f t="shared" ref="T29:U30" si="9">IF(Q29=0,0,R29/Q29)</f>
        <v>0.22766467977117197</v>
      </c>
      <c r="U29" s="119">
        <f t="shared" si="9"/>
        <v>0.16478894388416915</v>
      </c>
      <c r="V29" s="51"/>
      <c r="W29" s="51"/>
      <c r="X29" s="51"/>
      <c r="Y29" s="51"/>
    </row>
    <row r="30" spans="1:25">
      <c r="A30" s="51"/>
      <c r="B30" s="52"/>
      <c r="C30" s="52"/>
      <c r="D30" s="56"/>
      <c r="E30" s="51"/>
      <c r="F30" s="51"/>
      <c r="G30" s="51"/>
      <c r="H30" s="51"/>
      <c r="I30" s="51"/>
      <c r="J30" s="52"/>
      <c r="K30" s="51"/>
      <c r="L30" s="51"/>
      <c r="M30" s="51"/>
      <c r="N30" s="709" t="s">
        <v>3269</v>
      </c>
      <c r="O30" s="52">
        <f>COUNTIF(O11:O27,"=0%")</f>
        <v>3</v>
      </c>
      <c r="P30" s="54">
        <v>4892151211</v>
      </c>
      <c r="Q30" s="54">
        <v>1934556201</v>
      </c>
      <c r="R30" s="54">
        <v>440430118</v>
      </c>
      <c r="S30" s="54">
        <v>72578014</v>
      </c>
      <c r="T30" s="119">
        <f t="shared" si="9"/>
        <v>0.22766467977117197</v>
      </c>
      <c r="U30" s="119">
        <f t="shared" si="9"/>
        <v>0.16478894388416915</v>
      </c>
      <c r="V30" s="51"/>
      <c r="W30" s="51"/>
      <c r="X30" s="51"/>
      <c r="Y30" s="51"/>
    </row>
  </sheetData>
  <autoFilter ref="A5:Y6" xr:uid="{00000000-0009-0000-0000-00001A000000}"/>
  <mergeCells count="63">
    <mergeCell ref="B19:B20"/>
    <mergeCell ref="C19:C20"/>
    <mergeCell ref="D19:D20"/>
    <mergeCell ref="Y25:Y27"/>
    <mergeCell ref="E29:F29"/>
    <mergeCell ref="C24:C27"/>
    <mergeCell ref="D24:D27"/>
    <mergeCell ref="G25:G27"/>
    <mergeCell ref="H25:H27"/>
    <mergeCell ref="O25:O27"/>
    <mergeCell ref="A1:X1"/>
    <mergeCell ref="E5:E6"/>
    <mergeCell ref="F5:F6"/>
    <mergeCell ref="O5:O6"/>
    <mergeCell ref="P5:P6"/>
    <mergeCell ref="R5:R6"/>
    <mergeCell ref="V5:V6"/>
    <mergeCell ref="G5:G6"/>
    <mergeCell ref="K5:K6"/>
    <mergeCell ref="U5:U6"/>
    <mergeCell ref="W5:W6"/>
    <mergeCell ref="X5:X6"/>
    <mergeCell ref="Q5:Q6"/>
    <mergeCell ref="D5:D6"/>
    <mergeCell ref="S5:S6"/>
    <mergeCell ref="T5:T6"/>
    <mergeCell ref="A2:Y2"/>
    <mergeCell ref="A3:B3"/>
    <mergeCell ref="V3:W3"/>
    <mergeCell ref="A5:A6"/>
    <mergeCell ref="C5:C6"/>
    <mergeCell ref="J5:J6"/>
    <mergeCell ref="I5:I6"/>
    <mergeCell ref="L5:L6"/>
    <mergeCell ref="M5:M6"/>
    <mergeCell ref="N5:N6"/>
    <mergeCell ref="H5:H6"/>
    <mergeCell ref="Y5:Y6"/>
    <mergeCell ref="C3:S3"/>
    <mergeCell ref="T3:U3"/>
    <mergeCell ref="A4:X4"/>
    <mergeCell ref="B5:B6"/>
    <mergeCell ref="D21:D22"/>
    <mergeCell ref="O21:O22"/>
    <mergeCell ref="Y12:Y14"/>
    <mergeCell ref="O19:O20"/>
    <mergeCell ref="A11:A14"/>
    <mergeCell ref="B11:B14"/>
    <mergeCell ref="C11:C14"/>
    <mergeCell ref="D11:D14"/>
    <mergeCell ref="O12:O14"/>
    <mergeCell ref="A16:A18"/>
    <mergeCell ref="B16:B18"/>
    <mergeCell ref="C16:C18"/>
    <mergeCell ref="D16:D18"/>
    <mergeCell ref="O17:O18"/>
    <mergeCell ref="Y17:Y18"/>
    <mergeCell ref="A19:A20"/>
    <mergeCell ref="A24:A27"/>
    <mergeCell ref="B24:B27"/>
    <mergeCell ref="A21:A22"/>
    <mergeCell ref="B21:B22"/>
    <mergeCell ref="C21:C22"/>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2"/>
  </sheetPr>
  <dimension ref="A1:Y114"/>
  <sheetViews>
    <sheetView topLeftCell="A109" zoomScale="70" zoomScaleNormal="70" zoomScaleSheetLayoutView="100" workbookViewId="0">
      <selection activeCell="O112" sqref="O112"/>
    </sheetView>
  </sheetViews>
  <sheetFormatPr baseColWidth="10" defaultColWidth="11.42578125" defaultRowHeight="16.5"/>
  <cols>
    <col min="1" max="1" width="6.7109375" style="2" customWidth="1"/>
    <col min="2" max="2" width="10.85546875" style="3" customWidth="1"/>
    <col min="3" max="3" width="5.5703125" style="2" customWidth="1"/>
    <col min="4" max="4" width="30.42578125" style="3" customWidth="1"/>
    <col min="5" max="5" width="16.7109375" style="3" customWidth="1"/>
    <col min="6" max="6" width="7.5703125" style="3" customWidth="1"/>
    <col min="7" max="7" width="15.85546875" style="3" customWidth="1"/>
    <col min="8" max="8" width="9.85546875" style="3" customWidth="1"/>
    <col min="9" max="9" width="20" style="3" customWidth="1"/>
    <col min="10" max="10" width="20" style="2" customWidth="1"/>
    <col min="11" max="11" width="11.85546875" style="16" customWidth="1"/>
    <col min="12" max="12" width="10.42578125" style="16" customWidth="1"/>
    <col min="13" max="13" width="8.140625" style="16" customWidth="1"/>
    <col min="14" max="14" width="8.5703125" style="3" customWidth="1"/>
    <col min="15" max="15" width="9" style="2" customWidth="1"/>
    <col min="16" max="16" width="21" style="3" bestFit="1" customWidth="1"/>
    <col min="17" max="17" width="19.140625" style="3" customWidth="1"/>
    <col min="18" max="18" width="18.140625" style="3" customWidth="1"/>
    <col min="19" max="19" width="15.140625" style="3" customWidth="1"/>
    <col min="20" max="21" width="7.42578125" style="3" customWidth="1"/>
    <col min="22" max="22" width="12.42578125" style="3" customWidth="1"/>
    <col min="23" max="23" width="17.140625" style="3" customWidth="1"/>
    <col min="24" max="24" width="55" style="3" customWidth="1"/>
    <col min="25" max="25" width="17.140625" style="17" customWidth="1"/>
    <col min="26"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306</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5" ht="53.25" customHeight="1">
      <c r="A5" s="3437" t="s">
        <v>74</v>
      </c>
      <c r="B5" s="3437" t="s">
        <v>4</v>
      </c>
      <c r="C5" s="3437" t="s">
        <v>3</v>
      </c>
      <c r="D5" s="3437" t="s">
        <v>94</v>
      </c>
      <c r="E5" s="3437" t="s">
        <v>2</v>
      </c>
      <c r="F5" s="3437" t="s">
        <v>75</v>
      </c>
      <c r="G5" s="3437" t="s">
        <v>92</v>
      </c>
      <c r="H5" s="3437" t="s">
        <v>93</v>
      </c>
      <c r="I5" s="3437" t="s">
        <v>8</v>
      </c>
      <c r="J5" s="3437" t="s">
        <v>9</v>
      </c>
      <c r="K5" s="3437" t="s">
        <v>10</v>
      </c>
      <c r="L5" s="3438" t="s">
        <v>11</v>
      </c>
      <c r="M5" s="3446" t="s">
        <v>86</v>
      </c>
      <c r="N5" s="3440" t="s">
        <v>12</v>
      </c>
      <c r="O5" s="3440" t="s">
        <v>72</v>
      </c>
      <c r="P5" s="3444" t="s">
        <v>1</v>
      </c>
      <c r="Q5" s="3440" t="s">
        <v>13</v>
      </c>
      <c r="R5" s="3440" t="s">
        <v>14</v>
      </c>
      <c r="S5" s="3440" t="s">
        <v>16</v>
      </c>
      <c r="T5" s="3440" t="s">
        <v>15</v>
      </c>
      <c r="U5" s="3440" t="s">
        <v>89</v>
      </c>
      <c r="V5" s="3444" t="s">
        <v>6</v>
      </c>
      <c r="W5" s="3444" t="s">
        <v>7</v>
      </c>
      <c r="X5" s="3440" t="s">
        <v>0</v>
      </c>
      <c r="Y5" s="3442" t="s">
        <v>76</v>
      </c>
    </row>
    <row r="6" spans="1:25" ht="70.900000000000006" customHeight="1">
      <c r="A6" s="3437"/>
      <c r="B6" s="3437"/>
      <c r="C6" s="3437"/>
      <c r="D6" s="3437"/>
      <c r="E6" s="3437"/>
      <c r="F6" s="3437"/>
      <c r="G6" s="3437"/>
      <c r="H6" s="3437"/>
      <c r="I6" s="3437"/>
      <c r="J6" s="3437"/>
      <c r="K6" s="3437"/>
      <c r="L6" s="3439"/>
      <c r="M6" s="3446"/>
      <c r="N6" s="3441"/>
      <c r="O6" s="3441"/>
      <c r="P6" s="3445"/>
      <c r="Q6" s="3441"/>
      <c r="R6" s="3441"/>
      <c r="S6" s="3441"/>
      <c r="T6" s="3441"/>
      <c r="U6" s="3441"/>
      <c r="V6" s="3445"/>
      <c r="W6" s="3445"/>
      <c r="X6" s="3441"/>
      <c r="Y6" s="3443"/>
    </row>
    <row r="7" spans="1:25">
      <c r="A7" s="2664"/>
      <c r="B7" s="2665">
        <v>51</v>
      </c>
      <c r="C7" s="2666" t="s">
        <v>100</v>
      </c>
      <c r="D7" s="2667" t="s">
        <v>134</v>
      </c>
      <c r="E7" s="2668"/>
      <c r="F7" s="2669"/>
      <c r="G7" s="2670"/>
      <c r="H7" s="2671"/>
      <c r="I7" s="2671"/>
      <c r="J7" s="2664"/>
      <c r="K7" s="2671"/>
      <c r="L7" s="2671"/>
      <c r="M7" s="2672"/>
      <c r="N7" s="2673"/>
      <c r="O7" s="2674"/>
      <c r="P7" s="2672"/>
      <c r="Q7" s="2675"/>
      <c r="R7" s="2676"/>
      <c r="S7" s="2676"/>
      <c r="T7" s="2677"/>
      <c r="U7" s="2677"/>
      <c r="V7" s="2664"/>
      <c r="W7" s="2664"/>
      <c r="X7" s="2678"/>
      <c r="Y7" s="2671"/>
    </row>
    <row r="8" spans="1:25">
      <c r="A8" s="2679"/>
      <c r="B8" s="2680">
        <v>5101</v>
      </c>
      <c r="C8" s="2680" t="s">
        <v>101</v>
      </c>
      <c r="D8" s="2681" t="s">
        <v>136</v>
      </c>
      <c r="E8" s="2681"/>
      <c r="F8" s="2682"/>
      <c r="G8" s="2683"/>
      <c r="H8" s="2679"/>
      <c r="I8" s="2679"/>
      <c r="J8" s="2680"/>
      <c r="K8" s="2679"/>
      <c r="L8" s="2679"/>
      <c r="M8" s="2684"/>
      <c r="N8" s="2685"/>
      <c r="O8" s="2686"/>
      <c r="P8" s="2684"/>
      <c r="Q8" s="2687"/>
      <c r="R8" s="2688"/>
      <c r="S8" s="2688"/>
      <c r="T8" s="2689"/>
      <c r="U8" s="2689"/>
      <c r="V8" s="2680"/>
      <c r="W8" s="2680"/>
      <c r="X8" s="2690"/>
      <c r="Y8" s="2679"/>
    </row>
    <row r="9" spans="1:25">
      <c r="A9" s="2691"/>
      <c r="B9" s="2692">
        <v>5101001</v>
      </c>
      <c r="C9" s="2692" t="s">
        <v>102</v>
      </c>
      <c r="D9" s="2693" t="s">
        <v>136</v>
      </c>
      <c r="E9" s="2694"/>
      <c r="F9" s="2695"/>
      <c r="G9" s="2696"/>
      <c r="H9" s="2691"/>
      <c r="I9" s="2691"/>
      <c r="J9" s="2697"/>
      <c r="K9" s="2691"/>
      <c r="L9" s="2691"/>
      <c r="M9" s="2684"/>
      <c r="N9" s="2685"/>
      <c r="O9" s="2686"/>
      <c r="P9" s="2684"/>
      <c r="Q9" s="2687"/>
      <c r="R9" s="2688"/>
      <c r="S9" s="2688"/>
      <c r="T9" s="2689"/>
      <c r="U9" s="2689"/>
      <c r="V9" s="2697"/>
      <c r="W9" s="2697"/>
      <c r="X9" s="2690"/>
      <c r="Y9" s="2691"/>
    </row>
    <row r="10" spans="1:25" ht="25.5">
      <c r="A10" s="2691"/>
      <c r="B10" s="2698" t="s">
        <v>4524</v>
      </c>
      <c r="C10" s="2699" t="s">
        <v>103</v>
      </c>
      <c r="D10" s="2700" t="s">
        <v>4525</v>
      </c>
      <c r="E10" s="2694"/>
      <c r="F10" s="2701">
        <v>16361</v>
      </c>
      <c r="G10" s="2696"/>
      <c r="H10" s="2702"/>
      <c r="I10" s="2691"/>
      <c r="J10" s="2697"/>
      <c r="K10" s="2691"/>
      <c r="L10" s="2691"/>
      <c r="M10" s="2684"/>
      <c r="N10" s="2685"/>
      <c r="O10" s="2703"/>
      <c r="P10" s="2704"/>
      <c r="Q10" s="2687"/>
      <c r="R10" s="2688"/>
      <c r="S10" s="2688"/>
      <c r="T10" s="2689"/>
      <c r="U10" s="2689"/>
      <c r="V10" s="2697"/>
      <c r="W10" s="2705"/>
      <c r="X10" s="2690"/>
      <c r="Y10" s="2697"/>
    </row>
    <row r="11" spans="1:25">
      <c r="A11" s="3413">
        <v>4182</v>
      </c>
      <c r="B11" s="3419"/>
      <c r="C11" s="3424" t="s">
        <v>109</v>
      </c>
      <c r="D11" s="3409" t="s">
        <v>4526</v>
      </c>
      <c r="E11" s="2694" t="s">
        <v>4527</v>
      </c>
      <c r="F11" s="2707"/>
      <c r="G11" s="2708"/>
      <c r="H11" s="2709">
        <f>H12+H13</f>
        <v>16361</v>
      </c>
      <c r="I11" s="2697"/>
      <c r="J11" s="2710"/>
      <c r="K11" s="2709">
        <f>+K12</f>
        <v>490830</v>
      </c>
      <c r="L11" s="2711">
        <f>SUM(L12:L13)</f>
        <v>1</v>
      </c>
      <c r="M11" s="2709">
        <f>SUM(M12:M13)</f>
        <v>98673</v>
      </c>
      <c r="N11" s="2712">
        <f>SUM(N12:N13)</f>
        <v>0.47000000000000003</v>
      </c>
      <c r="O11" s="3425">
        <f>IF(Q11&gt;0,N11,"NA")</f>
        <v>0.47000000000000003</v>
      </c>
      <c r="P11" s="2713">
        <f>SUM(P12:P13)</f>
        <v>37618640000</v>
      </c>
      <c r="Q11" s="2713">
        <f t="shared" ref="Q11:S11" si="0">SUM(Q12:Q13)</f>
        <v>37618640000</v>
      </c>
      <c r="R11" s="2713">
        <f t="shared" si="0"/>
        <v>18418663122</v>
      </c>
      <c r="S11" s="2713">
        <f t="shared" si="0"/>
        <v>11255068122</v>
      </c>
      <c r="T11" s="2714">
        <f>+IF(Q11=0,0,R11/Q11)</f>
        <v>0.48961533755606262</v>
      </c>
      <c r="U11" s="2714">
        <f>+IF(R11=0,0,S11/R11)</f>
        <v>0.61106867786492547</v>
      </c>
      <c r="V11" s="2715"/>
      <c r="W11" s="2715"/>
      <c r="X11" s="2716"/>
      <c r="Y11" s="3405" t="s">
        <v>4528</v>
      </c>
    </row>
    <row r="12" spans="1:25" ht="81">
      <c r="A12" s="3414"/>
      <c r="B12" s="3420"/>
      <c r="C12" s="3424"/>
      <c r="D12" s="3409"/>
      <c r="E12" s="2694" t="s">
        <v>4529</v>
      </c>
      <c r="F12" s="2707"/>
      <c r="G12" s="2694" t="s">
        <v>4525</v>
      </c>
      <c r="H12" s="2709">
        <v>16361</v>
      </c>
      <c r="I12" s="2697" t="s">
        <v>4530</v>
      </c>
      <c r="J12" s="2697" t="s">
        <v>4531</v>
      </c>
      <c r="K12" s="2709">
        <v>490830</v>
      </c>
      <c r="L12" s="2711">
        <v>0.9</v>
      </c>
      <c r="M12" s="2709">
        <v>98670</v>
      </c>
      <c r="N12" s="2712">
        <v>0.4</v>
      </c>
      <c r="O12" s="3425"/>
      <c r="P12" s="2713">
        <v>36491300000</v>
      </c>
      <c r="Q12" s="2713">
        <v>36491300000</v>
      </c>
      <c r="R12" s="2713">
        <v>17395826122</v>
      </c>
      <c r="S12" s="2713">
        <v>10395826122</v>
      </c>
      <c r="T12" s="2714">
        <f t="shared" ref="T12:T25" si="1">+IF(Q12=0,0,R12/Q12)</f>
        <v>0.47671160309443622</v>
      </c>
      <c r="U12" s="2714">
        <f>+IF(R12=0,0,S12/R12)</f>
        <v>0.59760462360868838</v>
      </c>
      <c r="V12" s="2715">
        <v>45330</v>
      </c>
      <c r="W12" s="2715">
        <v>45657</v>
      </c>
      <c r="X12" s="2717" t="s">
        <v>5733</v>
      </c>
      <c r="Y12" s="3405"/>
    </row>
    <row r="13" spans="1:25" ht="121.5">
      <c r="A13" s="3414"/>
      <c r="B13" s="3420"/>
      <c r="C13" s="3424"/>
      <c r="D13" s="3409"/>
      <c r="E13" s="2694" t="s">
        <v>4532</v>
      </c>
      <c r="F13" s="2707"/>
      <c r="H13" s="2718"/>
      <c r="I13" s="2697" t="s">
        <v>4533</v>
      </c>
      <c r="J13" s="2697" t="s">
        <v>110</v>
      </c>
      <c r="K13" s="2697">
        <v>6</v>
      </c>
      <c r="L13" s="2711">
        <v>0.1</v>
      </c>
      <c r="M13" s="2709">
        <v>3</v>
      </c>
      <c r="N13" s="2712">
        <v>7.0000000000000007E-2</v>
      </c>
      <c r="O13" s="3425"/>
      <c r="P13" s="2713">
        <v>1127340000</v>
      </c>
      <c r="Q13" s="2713">
        <v>1127340000</v>
      </c>
      <c r="R13" s="2719">
        <v>1022837000</v>
      </c>
      <c r="S13" s="2720">
        <v>859242000</v>
      </c>
      <c r="T13" s="2714">
        <f t="shared" si="1"/>
        <v>0.90730125782816184</v>
      </c>
      <c r="U13" s="2714">
        <f>+IF(R13=0,0,S13/R13)</f>
        <v>0.84005760448634537</v>
      </c>
      <c r="V13" s="2715">
        <v>45330</v>
      </c>
      <c r="W13" s="2715">
        <v>45657</v>
      </c>
      <c r="X13" s="2721" t="s">
        <v>5734</v>
      </c>
      <c r="Y13" s="3405"/>
    </row>
    <row r="14" spans="1:25">
      <c r="A14" s="3414"/>
      <c r="B14" s="3420"/>
      <c r="C14" s="2706"/>
      <c r="D14" s="2694"/>
      <c r="E14" s="2694" t="s">
        <v>5785</v>
      </c>
      <c r="F14" s="2707"/>
      <c r="G14" s="2694"/>
      <c r="H14" s="2718">
        <f>H15</f>
        <v>1818900</v>
      </c>
      <c r="I14" s="2697"/>
      <c r="J14" s="2697"/>
      <c r="K14" s="2709">
        <f>+K15</f>
        <v>1818900</v>
      </c>
      <c r="L14" s="2711">
        <f>+L15</f>
        <v>1</v>
      </c>
      <c r="M14" s="2709">
        <f>+M15</f>
        <v>0</v>
      </c>
      <c r="N14" s="2712">
        <f>+N15</f>
        <v>0</v>
      </c>
      <c r="O14" s="3422">
        <f>IF(Q14&gt;0,N14,"NA")</f>
        <v>0</v>
      </c>
      <c r="P14" s="2713">
        <f>SUM(P15:P16)</f>
        <v>0</v>
      </c>
      <c r="Q14" s="2713">
        <f t="shared" ref="Q14:S14" si="2">SUM(Q15:Q16)</f>
        <v>119000000000</v>
      </c>
      <c r="R14" s="2713">
        <f t="shared" si="2"/>
        <v>119000000000</v>
      </c>
      <c r="S14" s="2713">
        <f t="shared" si="2"/>
        <v>0</v>
      </c>
      <c r="T14" s="2714">
        <f>+IF(Q14=0,0,R14/Q14)</f>
        <v>1</v>
      </c>
      <c r="U14" s="2714">
        <f>+IF(R14=0,0,S14/R14)</f>
        <v>0</v>
      </c>
      <c r="V14" s="2715"/>
      <c r="W14" s="2715"/>
      <c r="X14" s="2721"/>
      <c r="Y14" s="2697"/>
    </row>
    <row r="15" spans="1:25" ht="54">
      <c r="A15" s="3415"/>
      <c r="B15" s="3421"/>
      <c r="C15" s="2722" t="s">
        <v>109</v>
      </c>
      <c r="D15" s="2723" t="s">
        <v>5786</v>
      </c>
      <c r="E15" s="2723" t="s">
        <v>5787</v>
      </c>
      <c r="F15" s="2724"/>
      <c r="G15" s="2723" t="s">
        <v>5788</v>
      </c>
      <c r="H15" s="2725">
        <v>1818900</v>
      </c>
      <c r="I15" s="2726" t="s">
        <v>5789</v>
      </c>
      <c r="J15" s="2726" t="s">
        <v>4531</v>
      </c>
      <c r="K15" s="2727">
        <v>1818900</v>
      </c>
      <c r="L15" s="2728">
        <v>1</v>
      </c>
      <c r="M15" s="2727">
        <v>0</v>
      </c>
      <c r="N15" s="2729">
        <v>0</v>
      </c>
      <c r="O15" s="3423"/>
      <c r="P15" s="2730">
        <v>0</v>
      </c>
      <c r="Q15" s="2730">
        <v>119000000000</v>
      </c>
      <c r="R15" s="2731">
        <v>119000000000</v>
      </c>
      <c r="S15" s="2731">
        <v>0</v>
      </c>
      <c r="T15" s="2732">
        <f t="shared" ref="T15" si="3">+IF(Q15=0,0,R15/Q15)</f>
        <v>1</v>
      </c>
      <c r="U15" s="2732">
        <f>+IF(R15=0,0,S15/R15)</f>
        <v>0</v>
      </c>
      <c r="V15" s="2733">
        <v>45432</v>
      </c>
      <c r="W15" s="2733">
        <v>45657</v>
      </c>
      <c r="X15" s="2734" t="s">
        <v>5790</v>
      </c>
      <c r="Y15" s="2726" t="s">
        <v>77</v>
      </c>
    </row>
    <row r="16" spans="1:25" ht="25.5">
      <c r="A16" s="2697"/>
      <c r="B16" s="2698" t="s">
        <v>4534</v>
      </c>
      <c r="C16" s="2735" t="s">
        <v>103</v>
      </c>
      <c r="D16" s="2700" t="s">
        <v>4535</v>
      </c>
      <c r="E16" s="2694"/>
      <c r="F16" s="2736">
        <v>1</v>
      </c>
      <c r="G16" s="2694"/>
      <c r="H16" s="2697"/>
      <c r="I16" s="2697"/>
      <c r="J16" s="2697"/>
      <c r="K16" s="2697"/>
      <c r="L16" s="2697"/>
      <c r="M16" s="2684"/>
      <c r="N16" s="2685"/>
      <c r="O16" s="2737"/>
      <c r="P16" s="2738"/>
      <c r="Q16" s="2739"/>
      <c r="R16" s="2699"/>
      <c r="S16" s="2699"/>
      <c r="T16" s="2740"/>
      <c r="U16" s="2740"/>
      <c r="V16" s="2697"/>
      <c r="W16" s="2741"/>
      <c r="X16" s="2742"/>
      <c r="Y16" s="2697"/>
    </row>
    <row r="17" spans="1:25">
      <c r="A17" s="3405">
        <v>4182</v>
      </c>
      <c r="B17" s="3424"/>
      <c r="C17" s="3424" t="s">
        <v>109</v>
      </c>
      <c r="D17" s="3409" t="s">
        <v>4536</v>
      </c>
      <c r="E17" s="2694" t="s">
        <v>4537</v>
      </c>
      <c r="F17" s="2707"/>
      <c r="G17" s="2694"/>
      <c r="H17" s="2697">
        <f>+H18+H19</f>
        <v>0</v>
      </c>
      <c r="I17" s="2710"/>
      <c r="J17" s="2697"/>
      <c r="K17" s="2697">
        <f>+K18</f>
        <v>1</v>
      </c>
      <c r="L17" s="2711">
        <f>SUM(L18:L19)</f>
        <v>1</v>
      </c>
      <c r="M17" s="2697">
        <f>SUM(M18:M19)</f>
        <v>3</v>
      </c>
      <c r="N17" s="2712">
        <f>SUM(N18:N19)</f>
        <v>0.28000000000000003</v>
      </c>
      <c r="O17" s="3425">
        <f>IF(Q17&gt;0,N17,"NA")</f>
        <v>0.28000000000000003</v>
      </c>
      <c r="P17" s="2713">
        <f>SUM(P18:P19)</f>
        <v>173189402088</v>
      </c>
      <c r="Q17" s="2713">
        <f t="shared" ref="Q17:S17" si="4">SUM(Q18:Q19)</f>
        <v>173189402088</v>
      </c>
      <c r="R17" s="2713">
        <f t="shared" si="4"/>
        <v>81474936228</v>
      </c>
      <c r="S17" s="2713">
        <f t="shared" si="4"/>
        <v>57604575552</v>
      </c>
      <c r="T17" s="2714">
        <f t="shared" si="1"/>
        <v>0.47043834810747498</v>
      </c>
      <c r="U17" s="2714">
        <f>+IF(R17=0,0,S17/R17)</f>
        <v>0.70702203915568551</v>
      </c>
      <c r="V17" s="2715"/>
      <c r="W17" s="2715"/>
      <c r="X17" s="2716"/>
      <c r="Y17" s="3405" t="s">
        <v>4528</v>
      </c>
    </row>
    <row r="18" spans="1:25" ht="40.5">
      <c r="A18" s="3405"/>
      <c r="B18" s="3424"/>
      <c r="C18" s="3424"/>
      <c r="D18" s="3409"/>
      <c r="E18" s="2694" t="s">
        <v>4538</v>
      </c>
      <c r="F18" s="2707"/>
      <c r="G18" s="2694" t="s">
        <v>4539</v>
      </c>
      <c r="H18" s="2697">
        <f>+M18</f>
        <v>0</v>
      </c>
      <c r="I18" s="2697" t="s">
        <v>4540</v>
      </c>
      <c r="J18" s="2697" t="s">
        <v>4541</v>
      </c>
      <c r="K18" s="2697">
        <v>1</v>
      </c>
      <c r="L18" s="2711">
        <v>0.8</v>
      </c>
      <c r="M18" s="2697">
        <v>0</v>
      </c>
      <c r="N18" s="2712">
        <v>0.15</v>
      </c>
      <c r="O18" s="3425"/>
      <c r="P18" s="2713">
        <v>169550462088</v>
      </c>
      <c r="Q18" s="2713">
        <v>169550462088</v>
      </c>
      <c r="R18" s="2719">
        <v>80010578017</v>
      </c>
      <c r="S18" s="2719">
        <v>57140578017</v>
      </c>
      <c r="T18" s="2714">
        <f t="shared" si="1"/>
        <v>0.47189831883485489</v>
      </c>
      <c r="U18" s="2714">
        <f>+IF(R18=0,0,S18/R18)</f>
        <v>0.71416279488518675</v>
      </c>
      <c r="V18" s="2715">
        <v>45328</v>
      </c>
      <c r="W18" s="2715">
        <v>45657</v>
      </c>
      <c r="X18" s="2743" t="s">
        <v>5735</v>
      </c>
      <c r="Y18" s="3405"/>
    </row>
    <row r="19" spans="1:25" ht="54">
      <c r="A19" s="3405"/>
      <c r="B19" s="3424"/>
      <c r="C19" s="3424"/>
      <c r="D19" s="3409"/>
      <c r="E19" s="2710" t="s">
        <v>4542</v>
      </c>
      <c r="F19" s="2707"/>
      <c r="G19" s="2697"/>
      <c r="H19" s="2697"/>
      <c r="I19" s="2697" t="s">
        <v>4543</v>
      </c>
      <c r="J19" s="2697" t="s">
        <v>4544</v>
      </c>
      <c r="K19" s="2697">
        <v>8</v>
      </c>
      <c r="L19" s="2711">
        <v>0.2</v>
      </c>
      <c r="M19" s="2697">
        <v>3</v>
      </c>
      <c r="N19" s="2712">
        <v>0.13</v>
      </c>
      <c r="O19" s="3425"/>
      <c r="P19" s="2719">
        <v>3638940000</v>
      </c>
      <c r="Q19" s="2719">
        <v>3638940000</v>
      </c>
      <c r="R19" s="2719">
        <v>1464358211</v>
      </c>
      <c r="S19" s="2719">
        <v>463997535</v>
      </c>
      <c r="T19" s="2714">
        <f t="shared" si="1"/>
        <v>0.40241339813242316</v>
      </c>
      <c r="U19" s="2714">
        <f>+IF(R19=0,0,S19/R19)</f>
        <v>0.31686067760916187</v>
      </c>
      <c r="V19" s="2715">
        <v>45328</v>
      </c>
      <c r="W19" s="2715">
        <v>45657</v>
      </c>
      <c r="X19" s="2721" t="s">
        <v>5736</v>
      </c>
      <c r="Y19" s="3405"/>
    </row>
    <row r="20" spans="1:25" ht="25.5">
      <c r="A20" s="2735"/>
      <c r="B20" s="2735">
        <v>51030010023</v>
      </c>
      <c r="C20" s="2735" t="s">
        <v>103</v>
      </c>
      <c r="D20" s="2700" t="s">
        <v>4545</v>
      </c>
      <c r="E20" s="2694"/>
      <c r="F20" s="2736">
        <v>1</v>
      </c>
      <c r="G20" s="2694"/>
      <c r="H20" s="2697"/>
      <c r="I20" s="2697"/>
      <c r="J20" s="2697"/>
      <c r="K20" s="2697"/>
      <c r="L20" s="2697"/>
      <c r="M20" s="2699"/>
      <c r="N20" s="2685"/>
      <c r="O20" s="2737"/>
      <c r="P20" s="2738"/>
      <c r="Q20" s="2739"/>
      <c r="R20" s="2699"/>
      <c r="S20" s="2699"/>
      <c r="T20" s="2740"/>
      <c r="U20" s="2740"/>
      <c r="V20" s="2697"/>
      <c r="W20" s="2705"/>
      <c r="X20" s="2742"/>
      <c r="Y20" s="2691"/>
    </row>
    <row r="21" spans="1:25">
      <c r="A21" s="3413">
        <v>4182</v>
      </c>
      <c r="B21" s="3413"/>
      <c r="C21" s="3405" t="s">
        <v>109</v>
      </c>
      <c r="D21" s="3409" t="s">
        <v>4546</v>
      </c>
      <c r="E21" s="2694" t="s">
        <v>4547</v>
      </c>
      <c r="F21" s="2707"/>
      <c r="G21" s="2744"/>
      <c r="H21" s="2697">
        <f>+H22+H23</f>
        <v>1</v>
      </c>
      <c r="I21" s="2697"/>
      <c r="J21" s="2710"/>
      <c r="K21" s="2697">
        <f>+K22</f>
        <v>1</v>
      </c>
      <c r="L21" s="2711">
        <f>SUM(L22:L23)</f>
        <v>1</v>
      </c>
      <c r="M21" s="2697">
        <f>SUM(M22:M23)</f>
        <v>0</v>
      </c>
      <c r="N21" s="2712">
        <f>SUM(N22:N23)</f>
        <v>0</v>
      </c>
      <c r="O21" s="3425" t="str">
        <f>IF(Q21&gt;0,N21,"NA")</f>
        <v>NA</v>
      </c>
      <c r="P21" s="2713">
        <f>SUM(P22:P23)</f>
        <v>15345399135</v>
      </c>
      <c r="Q21" s="2719">
        <f t="shared" ref="Q21:S21" si="5">SUM(Q22:Q23)</f>
        <v>0</v>
      </c>
      <c r="R21" s="2719">
        <f t="shared" si="5"/>
        <v>0</v>
      </c>
      <c r="S21" s="2719">
        <f t="shared" si="5"/>
        <v>0</v>
      </c>
      <c r="T21" s="2714">
        <f t="shared" si="1"/>
        <v>0</v>
      </c>
      <c r="U21" s="2714">
        <f>+IF(R21=0,0,S21/R21)</f>
        <v>0</v>
      </c>
      <c r="V21" s="2715"/>
      <c r="W21" s="2715"/>
      <c r="X21" s="2716"/>
      <c r="Y21" s="3405" t="s">
        <v>4528</v>
      </c>
    </row>
    <row r="22" spans="1:25" ht="40.5">
      <c r="A22" s="3414"/>
      <c r="B22" s="3414"/>
      <c r="C22" s="3405"/>
      <c r="D22" s="3409"/>
      <c r="E22" s="2694" t="s">
        <v>4548</v>
      </c>
      <c r="F22" s="2707"/>
      <c r="G22" s="2694" t="s">
        <v>4549</v>
      </c>
      <c r="H22" s="2697">
        <v>1</v>
      </c>
      <c r="I22" s="2697" t="s">
        <v>4550</v>
      </c>
      <c r="J22" s="2697" t="s">
        <v>4551</v>
      </c>
      <c r="K22" s="2697">
        <v>1</v>
      </c>
      <c r="L22" s="2711">
        <v>0.9</v>
      </c>
      <c r="M22" s="2697">
        <v>0</v>
      </c>
      <c r="N22" s="2712">
        <v>0</v>
      </c>
      <c r="O22" s="3425"/>
      <c r="P22" s="2713">
        <v>14952676043</v>
      </c>
      <c r="Q22" s="2719">
        <v>0</v>
      </c>
      <c r="R22" s="2719">
        <v>0</v>
      </c>
      <c r="S22" s="2719">
        <v>0</v>
      </c>
      <c r="T22" s="2714">
        <f t="shared" si="1"/>
        <v>0</v>
      </c>
      <c r="U22" s="2714">
        <f>+IF(R22=0,0,S22/R22)</f>
        <v>0</v>
      </c>
      <c r="V22" s="2715"/>
      <c r="W22" s="2715"/>
      <c r="X22" s="2716"/>
      <c r="Y22" s="3405"/>
    </row>
    <row r="23" spans="1:25" ht="40.5">
      <c r="A23" s="3414"/>
      <c r="B23" s="3414"/>
      <c r="C23" s="3405"/>
      <c r="D23" s="3409"/>
      <c r="E23" s="2694" t="s">
        <v>4552</v>
      </c>
      <c r="F23" s="2707"/>
      <c r="G23" s="2743"/>
      <c r="H23" s="2697"/>
      <c r="I23" s="2697" t="s">
        <v>4553</v>
      </c>
      <c r="J23" s="2697" t="s">
        <v>4544</v>
      </c>
      <c r="K23" s="2697">
        <v>4</v>
      </c>
      <c r="L23" s="2711">
        <v>0.1</v>
      </c>
      <c r="M23" s="2697">
        <v>0</v>
      </c>
      <c r="N23" s="2712">
        <v>0</v>
      </c>
      <c r="O23" s="3425"/>
      <c r="P23" s="2713">
        <v>392723092</v>
      </c>
      <c r="Q23" s="2719">
        <v>0</v>
      </c>
      <c r="R23" s="2719">
        <v>0</v>
      </c>
      <c r="S23" s="2719">
        <v>0</v>
      </c>
      <c r="T23" s="2714">
        <f t="shared" si="1"/>
        <v>0</v>
      </c>
      <c r="U23" s="2714">
        <f>+IF(R23=0,0,S23/R23)</f>
        <v>0</v>
      </c>
      <c r="V23" s="2715"/>
      <c r="W23" s="2715"/>
      <c r="X23" s="2716"/>
      <c r="Y23" s="3405"/>
    </row>
    <row r="24" spans="1:25">
      <c r="A24" s="3414"/>
      <c r="B24" s="3414"/>
      <c r="C24" s="2697"/>
      <c r="D24" s="2694"/>
      <c r="E24" s="2694" t="s">
        <v>5737</v>
      </c>
      <c r="F24" s="2697">
        <v>1</v>
      </c>
      <c r="G24" s="2743"/>
      <c r="H24" s="2697">
        <v>1</v>
      </c>
      <c r="I24" s="2697"/>
      <c r="J24" s="2697"/>
      <c r="K24" s="2697">
        <v>1</v>
      </c>
      <c r="L24" s="2711">
        <f>L25</f>
        <v>1</v>
      </c>
      <c r="M24" s="2697">
        <f>SUM(M25:M26)</f>
        <v>0</v>
      </c>
      <c r="N24" s="2712">
        <f>SUM(N25:N26)</f>
        <v>0</v>
      </c>
      <c r="O24" s="2685"/>
      <c r="P24" s="2713">
        <f>SUM(P25:P26)</f>
        <v>0</v>
      </c>
      <c r="Q24" s="2713">
        <f t="shared" ref="Q24:S24" si="6">SUM(Q25:Q26)</f>
        <v>15345399135</v>
      </c>
      <c r="R24" s="2713">
        <f t="shared" si="6"/>
        <v>1001554340</v>
      </c>
      <c r="S24" s="2713">
        <f t="shared" si="6"/>
        <v>0</v>
      </c>
      <c r="T24" s="2714">
        <f t="shared" si="1"/>
        <v>6.5267402378322042E-2</v>
      </c>
      <c r="U24" s="2714">
        <f>+IF(R24=0,0,S24/R24)</f>
        <v>0</v>
      </c>
      <c r="V24" s="2715"/>
      <c r="W24" s="2715"/>
      <c r="X24" s="2716"/>
      <c r="Y24" s="2697"/>
    </row>
    <row r="25" spans="1:25" ht="94.5">
      <c r="A25" s="3415"/>
      <c r="B25" s="3415"/>
      <c r="C25" s="2726" t="s">
        <v>109</v>
      </c>
      <c r="D25" s="2723" t="s">
        <v>5738</v>
      </c>
      <c r="E25" s="2723" t="s">
        <v>5739</v>
      </c>
      <c r="F25" s="2724"/>
      <c r="G25" s="2745" t="s">
        <v>5740</v>
      </c>
      <c r="H25" s="2726">
        <v>1</v>
      </c>
      <c r="I25" s="2726" t="s">
        <v>5741</v>
      </c>
      <c r="J25" s="2726" t="s">
        <v>2459</v>
      </c>
      <c r="K25" s="2726">
        <v>1</v>
      </c>
      <c r="L25" s="2728">
        <v>1</v>
      </c>
      <c r="M25" s="2726">
        <v>0</v>
      </c>
      <c r="N25" s="2729">
        <v>0</v>
      </c>
      <c r="O25" s="2746">
        <f>IF(Q25&gt;0,N25,"NA")</f>
        <v>0</v>
      </c>
      <c r="P25" s="2730">
        <v>0</v>
      </c>
      <c r="Q25" s="2730">
        <v>15345399135</v>
      </c>
      <c r="R25" s="2731">
        <v>1001554340</v>
      </c>
      <c r="S25" s="2731">
        <v>0</v>
      </c>
      <c r="T25" s="2732">
        <f t="shared" si="1"/>
        <v>6.5267402378322042E-2</v>
      </c>
      <c r="U25" s="2732">
        <f>+IF(R25=0,0,S25/R25)</f>
        <v>0</v>
      </c>
      <c r="V25" s="2733">
        <v>45460</v>
      </c>
      <c r="W25" s="2733">
        <v>45657</v>
      </c>
      <c r="X25" s="2747" t="s">
        <v>5742</v>
      </c>
      <c r="Y25" s="2726" t="s">
        <v>4528</v>
      </c>
    </row>
    <row r="26" spans="1:25">
      <c r="A26" s="2748"/>
      <c r="B26" s="2748">
        <v>52</v>
      </c>
      <c r="C26" s="2748" t="s">
        <v>100</v>
      </c>
      <c r="D26" s="2749" t="s">
        <v>148</v>
      </c>
      <c r="E26" s="2681"/>
      <c r="F26" s="2750"/>
      <c r="G26" s="2681"/>
      <c r="H26" s="2680"/>
      <c r="I26" s="2680"/>
      <c r="J26" s="2751"/>
      <c r="K26" s="2680"/>
      <c r="L26" s="2680"/>
      <c r="M26" s="2699"/>
      <c r="N26" s="2685"/>
      <c r="O26" s="2737"/>
      <c r="P26" s="2752"/>
      <c r="Q26" s="2739"/>
      <c r="R26" s="2699"/>
      <c r="S26" s="2699"/>
      <c r="T26" s="2740"/>
      <c r="U26" s="2740"/>
      <c r="V26" s="2679"/>
      <c r="W26" s="2679"/>
      <c r="X26" s="2742"/>
      <c r="Y26" s="2679"/>
    </row>
    <row r="27" spans="1:25">
      <c r="A27" s="2680"/>
      <c r="B27" s="2680">
        <v>5203</v>
      </c>
      <c r="C27" s="2680" t="s">
        <v>101</v>
      </c>
      <c r="D27" s="2681" t="s">
        <v>149</v>
      </c>
      <c r="E27" s="2681"/>
      <c r="F27" s="2753"/>
      <c r="G27" s="2681"/>
      <c r="H27" s="2680"/>
      <c r="I27" s="2680"/>
      <c r="J27" s="2680"/>
      <c r="K27" s="2680"/>
      <c r="L27" s="2680"/>
      <c r="M27" s="2699"/>
      <c r="N27" s="2685"/>
      <c r="O27" s="2737"/>
      <c r="P27" s="2752"/>
      <c r="Q27" s="2739"/>
      <c r="R27" s="2699"/>
      <c r="S27" s="2699"/>
      <c r="T27" s="2740"/>
      <c r="U27" s="2740"/>
      <c r="V27" s="2679"/>
      <c r="W27" s="2679"/>
      <c r="X27" s="2742"/>
      <c r="Y27" s="2679"/>
    </row>
    <row r="28" spans="1:25" ht="33">
      <c r="A28" s="2692"/>
      <c r="B28" s="2692">
        <v>5203009</v>
      </c>
      <c r="C28" s="2692" t="s">
        <v>102</v>
      </c>
      <c r="D28" s="2693" t="s">
        <v>165</v>
      </c>
      <c r="E28" s="2694"/>
      <c r="F28" s="2707"/>
      <c r="G28" s="2694"/>
      <c r="H28" s="2697"/>
      <c r="I28" s="2697"/>
      <c r="J28" s="2697"/>
      <c r="K28" s="2697"/>
      <c r="L28" s="2697"/>
      <c r="M28" s="2699"/>
      <c r="N28" s="2685"/>
      <c r="O28" s="2737"/>
      <c r="P28" s="2752"/>
      <c r="Q28" s="2739"/>
      <c r="R28" s="2699"/>
      <c r="S28" s="2699"/>
      <c r="T28" s="2740"/>
      <c r="U28" s="2740"/>
      <c r="V28" s="2691"/>
      <c r="W28" s="2691"/>
      <c r="X28" s="2742"/>
      <c r="Y28" s="2691"/>
    </row>
    <row r="29" spans="1:25" ht="25.5">
      <c r="A29" s="2699"/>
      <c r="B29" s="2699" t="s">
        <v>4554</v>
      </c>
      <c r="C29" s="2699" t="s">
        <v>103</v>
      </c>
      <c r="D29" s="2700" t="s">
        <v>4555</v>
      </c>
      <c r="E29" s="2708"/>
      <c r="F29" s="2736">
        <v>3</v>
      </c>
      <c r="G29" s="2694"/>
      <c r="H29" s="2697"/>
      <c r="I29" s="2697"/>
      <c r="J29" s="2697"/>
      <c r="K29" s="2697"/>
      <c r="L29" s="2697"/>
      <c r="M29" s="2699"/>
      <c r="N29" s="2685"/>
      <c r="O29" s="2737"/>
      <c r="P29" s="2738"/>
      <c r="Q29" s="2739"/>
      <c r="R29" s="2699"/>
      <c r="S29" s="2699"/>
      <c r="T29" s="2740"/>
      <c r="U29" s="2740"/>
      <c r="V29" s="2691"/>
      <c r="W29" s="2691"/>
      <c r="X29" s="2742"/>
      <c r="Y29" s="2691"/>
    </row>
    <row r="30" spans="1:25">
      <c r="A30" s="3405">
        <v>4182</v>
      </c>
      <c r="B30" s="3405"/>
      <c r="C30" s="3405" t="s">
        <v>109</v>
      </c>
      <c r="D30" s="3409" t="s">
        <v>4556</v>
      </c>
      <c r="E30" s="2694" t="s">
        <v>4557</v>
      </c>
      <c r="F30" s="2707"/>
      <c r="G30" s="2694"/>
      <c r="H30" s="2697">
        <f>+H31+H32</f>
        <v>3</v>
      </c>
      <c r="I30" s="2697"/>
      <c r="J30" s="2697"/>
      <c r="K30" s="2697">
        <f>+K32</f>
        <v>3</v>
      </c>
      <c r="L30" s="2711">
        <f>SUM(L31:L32)</f>
        <v>1</v>
      </c>
      <c r="M30" s="2697">
        <f>SUM(M31:M32)</f>
        <v>0</v>
      </c>
      <c r="N30" s="2712">
        <f>SUM(N31:N32)</f>
        <v>0.14000000000000001</v>
      </c>
      <c r="O30" s="3407">
        <f>IF(Q30&gt;0,N30,"NA")</f>
        <v>0.14000000000000001</v>
      </c>
      <c r="P30" s="2713">
        <f>SUM(P31:P32)</f>
        <v>5498700063</v>
      </c>
      <c r="Q30" s="2713">
        <f t="shared" ref="Q30:S30" si="7">SUM(Q31:Q32)</f>
        <v>7074019112</v>
      </c>
      <c r="R30" s="2713">
        <f t="shared" si="7"/>
        <v>886096882</v>
      </c>
      <c r="S30" s="2713">
        <f t="shared" si="7"/>
        <v>324458000</v>
      </c>
      <c r="T30" s="2714">
        <f t="shared" ref="T30:T32" si="8">+IF(Q30=0,0,R30/Q30)</f>
        <v>0.12526074187400357</v>
      </c>
      <c r="U30" s="2714">
        <f>+IF(R30=0,0,S30/R30)</f>
        <v>0.36616537829099371</v>
      </c>
      <c r="V30" s="2715"/>
      <c r="W30" s="2715"/>
      <c r="X30" s="2716"/>
      <c r="Y30" s="3405" t="s">
        <v>4528</v>
      </c>
    </row>
    <row r="31" spans="1:25" ht="243">
      <c r="A31" s="3405"/>
      <c r="B31" s="3405"/>
      <c r="C31" s="3405"/>
      <c r="D31" s="3409"/>
      <c r="E31" s="2694" t="s">
        <v>4558</v>
      </c>
      <c r="F31" s="2707"/>
      <c r="G31" s="2708"/>
      <c r="H31" s="2697"/>
      <c r="I31" s="2708" t="s">
        <v>4559</v>
      </c>
      <c r="J31" s="2697" t="s">
        <v>4560</v>
      </c>
      <c r="K31" s="2697">
        <v>5</v>
      </c>
      <c r="L31" s="2711">
        <v>0.15</v>
      </c>
      <c r="M31" s="2697">
        <v>0</v>
      </c>
      <c r="N31" s="2712">
        <v>0.1</v>
      </c>
      <c r="O31" s="3407"/>
      <c r="P31" s="2754">
        <v>1218162605</v>
      </c>
      <c r="Q31" s="2754">
        <v>1218162605</v>
      </c>
      <c r="R31" s="2754">
        <v>500099882</v>
      </c>
      <c r="S31" s="2754">
        <v>0</v>
      </c>
      <c r="T31" s="2714">
        <f t="shared" si="8"/>
        <v>0.41053622886412605</v>
      </c>
      <c r="U31" s="2714">
        <f>+IF(R31=0,0,S31/R31)</f>
        <v>0</v>
      </c>
      <c r="V31" s="2715">
        <v>45328</v>
      </c>
      <c r="W31" s="2715">
        <v>45657</v>
      </c>
      <c r="X31" s="2694" t="s">
        <v>5743</v>
      </c>
      <c r="Y31" s="3405"/>
    </row>
    <row r="32" spans="1:25" ht="121.5">
      <c r="A32" s="3405"/>
      <c r="B32" s="3405"/>
      <c r="C32" s="3405"/>
      <c r="D32" s="3409"/>
      <c r="E32" s="2723" t="s">
        <v>4561</v>
      </c>
      <c r="F32" s="2724"/>
      <c r="G32" s="2723" t="s">
        <v>4562</v>
      </c>
      <c r="H32" s="2726">
        <v>3</v>
      </c>
      <c r="I32" s="2755" t="s">
        <v>4563</v>
      </c>
      <c r="J32" s="2726" t="s">
        <v>4564</v>
      </c>
      <c r="K32" s="2726">
        <v>3</v>
      </c>
      <c r="L32" s="2728">
        <v>0.85</v>
      </c>
      <c r="M32" s="2726">
        <v>0</v>
      </c>
      <c r="N32" s="2729">
        <v>0.04</v>
      </c>
      <c r="O32" s="3407"/>
      <c r="P32" s="2756">
        <v>4280537458</v>
      </c>
      <c r="Q32" s="2756">
        <v>5855856507</v>
      </c>
      <c r="R32" s="2757">
        <v>385997000</v>
      </c>
      <c r="S32" s="2757">
        <v>324458000</v>
      </c>
      <c r="T32" s="2732">
        <f t="shared" si="8"/>
        <v>6.5916403439630941E-2</v>
      </c>
      <c r="U32" s="2732">
        <f>+IF(R32=0,0,S32/R32)</f>
        <v>0.84057129977694123</v>
      </c>
      <c r="V32" s="2733">
        <v>45328</v>
      </c>
      <c r="W32" s="2733">
        <v>45657</v>
      </c>
      <c r="X32" s="2745" t="s">
        <v>5744</v>
      </c>
      <c r="Y32" s="3405"/>
    </row>
    <row r="33" spans="1:25">
      <c r="A33" s="2697"/>
      <c r="B33" s="2697"/>
      <c r="C33" s="2697" t="s">
        <v>100</v>
      </c>
      <c r="D33" s="2758" t="s">
        <v>148</v>
      </c>
      <c r="E33" s="2694"/>
      <c r="F33" s="2707"/>
      <c r="G33" s="2694"/>
      <c r="H33" s="2697"/>
      <c r="I33" s="2697"/>
      <c r="J33" s="2697"/>
      <c r="K33" s="2697"/>
      <c r="L33" s="2697"/>
      <c r="M33" s="2699"/>
      <c r="N33" s="2685"/>
      <c r="O33" s="2737"/>
      <c r="P33" s="2752"/>
      <c r="Q33" s="2739"/>
      <c r="R33" s="2699"/>
      <c r="S33" s="2699"/>
      <c r="T33" s="2740"/>
      <c r="U33" s="2740"/>
      <c r="V33" s="2691"/>
      <c r="W33" s="2691"/>
      <c r="X33" s="2742"/>
      <c r="Y33" s="2691"/>
    </row>
    <row r="34" spans="1:25">
      <c r="A34" s="2697"/>
      <c r="B34" s="2697"/>
      <c r="C34" s="2692" t="s">
        <v>101</v>
      </c>
      <c r="D34" s="2693" t="s">
        <v>149</v>
      </c>
      <c r="E34" s="2694"/>
      <c r="F34" s="2707"/>
      <c r="G34" s="2694"/>
      <c r="H34" s="2697"/>
      <c r="I34" s="2697"/>
      <c r="J34" s="2697"/>
      <c r="K34" s="2697"/>
      <c r="L34" s="2697"/>
      <c r="M34" s="2699"/>
      <c r="N34" s="2685"/>
      <c r="O34" s="2737"/>
      <c r="P34" s="2752"/>
      <c r="Q34" s="2739"/>
      <c r="R34" s="2699"/>
      <c r="S34" s="2699"/>
      <c r="T34" s="2740"/>
      <c r="U34" s="2740"/>
      <c r="V34" s="2691"/>
      <c r="W34" s="2691"/>
      <c r="X34" s="2742"/>
      <c r="Y34" s="2691"/>
    </row>
    <row r="35" spans="1:25" ht="33">
      <c r="A35" s="2697"/>
      <c r="B35" s="2697"/>
      <c r="C35" s="2692" t="s">
        <v>102</v>
      </c>
      <c r="D35" s="2693" t="s">
        <v>165</v>
      </c>
      <c r="E35" s="2694"/>
      <c r="F35" s="2707"/>
      <c r="G35" s="2694"/>
      <c r="H35" s="2697"/>
      <c r="I35" s="2697"/>
      <c r="J35" s="2697"/>
      <c r="K35" s="2697"/>
      <c r="L35" s="2697"/>
      <c r="M35" s="2699"/>
      <c r="N35" s="2685"/>
      <c r="O35" s="2737"/>
      <c r="P35" s="2752"/>
      <c r="Q35" s="2739"/>
      <c r="R35" s="2699"/>
      <c r="S35" s="2699"/>
      <c r="T35" s="2740"/>
      <c r="U35" s="2740"/>
      <c r="V35" s="2691"/>
      <c r="W35" s="2691"/>
      <c r="X35" s="2742"/>
      <c r="Y35" s="2691"/>
    </row>
    <row r="36" spans="1:25" ht="25.5">
      <c r="A36" s="2699"/>
      <c r="B36" s="2699">
        <v>52030090003</v>
      </c>
      <c r="C36" s="2699" t="s">
        <v>103</v>
      </c>
      <c r="D36" s="2700" t="s">
        <v>4565</v>
      </c>
      <c r="E36" s="2694"/>
      <c r="F36" s="2736">
        <v>7</v>
      </c>
      <c r="G36" s="2694"/>
      <c r="H36" s="2697"/>
      <c r="I36" s="2697"/>
      <c r="J36" s="2697"/>
      <c r="K36" s="2697"/>
      <c r="L36" s="2697"/>
      <c r="M36" s="2699"/>
      <c r="N36" s="2685"/>
      <c r="O36" s="2737"/>
      <c r="P36" s="2752"/>
      <c r="Q36" s="2739"/>
      <c r="R36" s="2699"/>
      <c r="S36" s="2699"/>
      <c r="T36" s="2740"/>
      <c r="U36" s="2740"/>
      <c r="V36" s="2691"/>
      <c r="W36" s="2691"/>
      <c r="X36" s="2742"/>
      <c r="Y36" s="2691"/>
    </row>
    <row r="37" spans="1:25">
      <c r="A37" s="3405">
        <v>4182</v>
      </c>
      <c r="B37" s="3405"/>
      <c r="C37" s="3413" t="s">
        <v>109</v>
      </c>
      <c r="D37" s="3416" t="s">
        <v>4566</v>
      </c>
      <c r="E37" s="2694" t="s">
        <v>4567</v>
      </c>
      <c r="F37" s="2707"/>
      <c r="G37" s="2708"/>
      <c r="H37" s="2697">
        <f>H39</f>
        <v>6</v>
      </c>
      <c r="I37" s="2697"/>
      <c r="J37" s="2697"/>
      <c r="K37" s="2697">
        <f>K39</f>
        <v>6</v>
      </c>
      <c r="L37" s="2711">
        <f>SUM(L38:L40)</f>
        <v>1</v>
      </c>
      <c r="M37" s="2697">
        <f>SUM(M38)</f>
        <v>0</v>
      </c>
      <c r="N37" s="2712">
        <f>SUM(N38)</f>
        <v>0</v>
      </c>
      <c r="O37" s="3430">
        <f>IF(P38&gt;0,N38,"NA")</f>
        <v>0</v>
      </c>
      <c r="P37" s="2713">
        <f>SUM(P38:P40)</f>
        <v>2328131963</v>
      </c>
      <c r="Q37" s="2713">
        <f t="shared" ref="Q37:S37" si="9">SUM(Q38:Q40)</f>
        <v>2819974261</v>
      </c>
      <c r="R37" s="2713">
        <f t="shared" si="9"/>
        <v>0</v>
      </c>
      <c r="S37" s="2713">
        <f t="shared" si="9"/>
        <v>0</v>
      </c>
      <c r="T37" s="2714">
        <f t="shared" ref="T37:T39" si="10">+IF(Q37=0,0,R37/Q37)</f>
        <v>0</v>
      </c>
      <c r="U37" s="2714">
        <f>+IF(R37=0,0,S37/R37)</f>
        <v>0</v>
      </c>
      <c r="V37" s="2715"/>
      <c r="W37" s="2715"/>
      <c r="X37" s="2716"/>
      <c r="Y37" s="3413" t="s">
        <v>4568</v>
      </c>
    </row>
    <row r="38" spans="1:25">
      <c r="A38" s="3405"/>
      <c r="B38" s="3405"/>
      <c r="C38" s="3414"/>
      <c r="D38" s="3426"/>
      <c r="E38" s="2723" t="s">
        <v>4569</v>
      </c>
      <c r="F38" s="2724"/>
      <c r="G38" s="2723"/>
      <c r="H38" s="2726">
        <f>+M38</f>
        <v>0</v>
      </c>
      <c r="I38" s="2726" t="s">
        <v>4570</v>
      </c>
      <c r="J38" s="2726" t="s">
        <v>4560</v>
      </c>
      <c r="K38" s="2726">
        <v>3</v>
      </c>
      <c r="L38" s="2728">
        <v>0.15</v>
      </c>
      <c r="M38" s="2726">
        <v>0</v>
      </c>
      <c r="N38" s="2729">
        <v>0</v>
      </c>
      <c r="O38" s="3431"/>
      <c r="P38" s="2759">
        <v>263004085</v>
      </c>
      <c r="Q38" s="2759">
        <v>375369821</v>
      </c>
      <c r="R38" s="2756">
        <v>0</v>
      </c>
      <c r="S38" s="2756">
        <v>0</v>
      </c>
      <c r="T38" s="2732">
        <f t="shared" si="10"/>
        <v>0</v>
      </c>
      <c r="U38" s="2732">
        <f>+IF(R38=0,0,S38/R38)</f>
        <v>0</v>
      </c>
      <c r="V38" s="2733"/>
      <c r="W38" s="2733"/>
      <c r="X38" s="2747"/>
      <c r="Y38" s="3414"/>
    </row>
    <row r="39" spans="1:25" ht="54">
      <c r="A39" s="2726"/>
      <c r="B39" s="2726"/>
      <c r="C39" s="3415"/>
      <c r="D39" s="3417"/>
      <c r="E39" s="2723" t="s">
        <v>4571</v>
      </c>
      <c r="F39" s="2724"/>
      <c r="G39" s="2723" t="s">
        <v>4572</v>
      </c>
      <c r="H39" s="2726">
        <v>6</v>
      </c>
      <c r="I39" s="2726" t="s">
        <v>4573</v>
      </c>
      <c r="J39" s="2760" t="s">
        <v>4574</v>
      </c>
      <c r="K39" s="2726">
        <v>6</v>
      </c>
      <c r="L39" s="2728">
        <v>0.85</v>
      </c>
      <c r="M39" s="2726">
        <v>0</v>
      </c>
      <c r="N39" s="2729">
        <v>0</v>
      </c>
      <c r="O39" s="3432"/>
      <c r="P39" s="2759">
        <v>2065127878</v>
      </c>
      <c r="Q39" s="2759">
        <v>2444604440</v>
      </c>
      <c r="R39" s="2756">
        <v>0</v>
      </c>
      <c r="S39" s="2756">
        <v>0</v>
      </c>
      <c r="T39" s="2732">
        <f t="shared" si="10"/>
        <v>0</v>
      </c>
      <c r="U39" s="2732">
        <f>+IF(R39=0,0,S39/R39)</f>
        <v>0</v>
      </c>
      <c r="V39" s="2733"/>
      <c r="W39" s="2733"/>
      <c r="X39" s="2745"/>
      <c r="Y39" s="3415"/>
    </row>
    <row r="40" spans="1:25">
      <c r="A40" s="2697"/>
      <c r="B40" s="2697"/>
      <c r="C40" s="2697" t="s">
        <v>100</v>
      </c>
      <c r="D40" s="2758" t="s">
        <v>148</v>
      </c>
      <c r="E40" s="2694"/>
      <c r="F40" s="2736"/>
      <c r="G40" s="2694"/>
      <c r="H40" s="2697"/>
      <c r="I40" s="2697"/>
      <c r="J40" s="2697"/>
      <c r="K40" s="2697"/>
      <c r="L40" s="2697"/>
      <c r="M40" s="2699"/>
      <c r="N40" s="2685"/>
      <c r="O40" s="2737"/>
      <c r="P40" s="2752"/>
      <c r="Q40" s="2739"/>
      <c r="R40" s="2699"/>
      <c r="S40" s="2699"/>
      <c r="T40" s="2740"/>
      <c r="U40" s="2740"/>
      <c r="V40" s="2691"/>
      <c r="W40" s="2691"/>
      <c r="X40" s="2742"/>
      <c r="Y40" s="2691"/>
    </row>
    <row r="41" spans="1:25">
      <c r="A41" s="2697"/>
      <c r="B41" s="2697"/>
      <c r="C41" s="2692" t="s">
        <v>101</v>
      </c>
      <c r="D41" s="2693" t="s">
        <v>149</v>
      </c>
      <c r="E41" s="2694"/>
      <c r="F41" s="2736"/>
      <c r="G41" s="2694"/>
      <c r="H41" s="2697"/>
      <c r="I41" s="2697"/>
      <c r="J41" s="2697"/>
      <c r="K41" s="2697"/>
      <c r="L41" s="2697"/>
      <c r="M41" s="2699"/>
      <c r="N41" s="2685"/>
      <c r="O41" s="2737"/>
      <c r="P41" s="2752"/>
      <c r="Q41" s="2739"/>
      <c r="R41" s="2699"/>
      <c r="S41" s="2699"/>
      <c r="T41" s="2740"/>
      <c r="U41" s="2740"/>
      <c r="V41" s="2691"/>
      <c r="W41" s="2691"/>
      <c r="X41" s="2742"/>
      <c r="Y41" s="2691"/>
    </row>
    <row r="42" spans="1:25" ht="33">
      <c r="A42" s="2697"/>
      <c r="B42" s="2697"/>
      <c r="C42" s="2692" t="s">
        <v>102</v>
      </c>
      <c r="D42" s="2693" t="s">
        <v>165</v>
      </c>
      <c r="E42" s="2694"/>
      <c r="F42" s="2736"/>
      <c r="G42" s="2694"/>
      <c r="H42" s="2697"/>
      <c r="I42" s="2697"/>
      <c r="J42" s="2697"/>
      <c r="K42" s="2697"/>
      <c r="L42" s="2697"/>
      <c r="M42" s="2699"/>
      <c r="N42" s="2685"/>
      <c r="O42" s="2737"/>
      <c r="P42" s="2752"/>
      <c r="Q42" s="2739"/>
      <c r="R42" s="2699"/>
      <c r="S42" s="2699"/>
      <c r="T42" s="2740"/>
      <c r="U42" s="2740"/>
      <c r="V42" s="2691"/>
      <c r="W42" s="2691"/>
      <c r="X42" s="2742"/>
      <c r="Y42" s="2691"/>
    </row>
    <row r="43" spans="1:25" ht="63.75">
      <c r="A43" s="2710"/>
      <c r="B43" s="2699">
        <v>52030090004</v>
      </c>
      <c r="C43" s="2699" t="s">
        <v>103</v>
      </c>
      <c r="D43" s="2785" t="s">
        <v>4575</v>
      </c>
      <c r="E43" s="2694"/>
      <c r="F43" s="2736" t="s">
        <v>5745</v>
      </c>
      <c r="G43" s="2708"/>
      <c r="H43" s="2697"/>
      <c r="I43" s="2697"/>
      <c r="J43" s="2697"/>
      <c r="K43" s="2697"/>
      <c r="L43" s="2697"/>
      <c r="M43" s="2699"/>
      <c r="N43" s="2685"/>
      <c r="O43" s="2737"/>
      <c r="P43" s="2786"/>
      <c r="Q43" s="2739"/>
      <c r="R43" s="2699"/>
      <c r="S43" s="2699"/>
      <c r="T43" s="2740"/>
      <c r="U43" s="2740"/>
      <c r="V43" s="2691"/>
      <c r="W43" s="2691"/>
      <c r="X43" s="2742"/>
      <c r="Y43" s="2691"/>
    </row>
    <row r="44" spans="1:25">
      <c r="A44" s="3405">
        <v>4182</v>
      </c>
      <c r="B44" s="3405"/>
      <c r="C44" s="3405" t="s">
        <v>109</v>
      </c>
      <c r="D44" s="3409" t="s">
        <v>4576</v>
      </c>
      <c r="E44" s="2694" t="s">
        <v>4577</v>
      </c>
      <c r="F44" s="2736"/>
      <c r="G44" s="2694"/>
      <c r="H44" s="2709">
        <f>SUM(H45)</f>
        <v>462205</v>
      </c>
      <c r="I44" s="2697"/>
      <c r="J44" s="2710"/>
      <c r="K44" s="2709">
        <f>+K45</f>
        <v>462205</v>
      </c>
      <c r="L44" s="2711">
        <f>SUM(L45:L46)</f>
        <v>1</v>
      </c>
      <c r="M44" s="2709">
        <f>SUM(M45)</f>
        <v>462205</v>
      </c>
      <c r="N44" s="2712">
        <f>SUM(N45)</f>
        <v>0.63</v>
      </c>
      <c r="O44" s="3407">
        <f>IF(P45&gt;0,N45,"NA")</f>
        <v>0.63</v>
      </c>
      <c r="P44" s="2713">
        <f>SUM(P45)</f>
        <v>30826111642</v>
      </c>
      <c r="Q44" s="2713">
        <f t="shared" ref="Q44:S44" si="11">SUM(Q45)</f>
        <v>44043142716</v>
      </c>
      <c r="R44" s="2713">
        <f t="shared" si="11"/>
        <v>1917436421</v>
      </c>
      <c r="S44" s="2713">
        <f t="shared" si="11"/>
        <v>1885068472</v>
      </c>
      <c r="T44" s="2714">
        <f t="shared" ref="T44:T45" si="12">+IF(Q44=0,0,R44/Q44)</f>
        <v>4.3535413296095997E-2</v>
      </c>
      <c r="U44" s="2714">
        <f>+IF(R44=0,0,S44/R44)</f>
        <v>0.9831191539675046</v>
      </c>
      <c r="V44" s="2715"/>
      <c r="W44" s="2715"/>
      <c r="X44" s="2716"/>
      <c r="Y44" s="3405" t="s">
        <v>4568</v>
      </c>
    </row>
    <row r="45" spans="1:25" ht="256.5">
      <c r="A45" s="3405"/>
      <c r="B45" s="3405"/>
      <c r="C45" s="3405"/>
      <c r="D45" s="3409"/>
      <c r="E45" s="2723" t="s">
        <v>4578</v>
      </c>
      <c r="F45" s="2723"/>
      <c r="G45" s="2723" t="s">
        <v>4575</v>
      </c>
      <c r="H45" s="2727">
        <v>462205</v>
      </c>
      <c r="I45" s="2726" t="s">
        <v>4579</v>
      </c>
      <c r="J45" s="2726" t="s">
        <v>4580</v>
      </c>
      <c r="K45" s="2727">
        <v>462205</v>
      </c>
      <c r="L45" s="2728">
        <v>1</v>
      </c>
      <c r="M45" s="2727">
        <v>462205</v>
      </c>
      <c r="N45" s="2729">
        <v>0.63</v>
      </c>
      <c r="O45" s="3407"/>
      <c r="P45" s="2759">
        <v>30826111642</v>
      </c>
      <c r="Q45" s="2759">
        <v>44043142716</v>
      </c>
      <c r="R45" s="2756">
        <v>1917436421</v>
      </c>
      <c r="S45" s="2756">
        <v>1885068472</v>
      </c>
      <c r="T45" s="2732">
        <f t="shared" si="12"/>
        <v>4.3535413296095997E-2</v>
      </c>
      <c r="U45" s="2732">
        <f>+IF(R45=0,0,S45/R45)</f>
        <v>0.9831191539675046</v>
      </c>
      <c r="V45" s="2733">
        <v>45418</v>
      </c>
      <c r="W45" s="2733">
        <v>45657</v>
      </c>
      <c r="X45" s="2747" t="s">
        <v>5746</v>
      </c>
      <c r="Y45" s="3405"/>
    </row>
    <row r="46" spans="1:25" ht="25.5">
      <c r="A46" s="2699"/>
      <c r="B46" s="2699">
        <v>52030090005</v>
      </c>
      <c r="C46" s="2699" t="s">
        <v>103</v>
      </c>
      <c r="D46" s="2700" t="s">
        <v>4581</v>
      </c>
      <c r="E46" s="2708"/>
      <c r="F46" s="2709">
        <v>266426</v>
      </c>
      <c r="G46" s="2708"/>
      <c r="H46" s="2697"/>
      <c r="I46" s="2697"/>
      <c r="J46" s="2697"/>
      <c r="K46" s="2697"/>
      <c r="L46" s="2697"/>
      <c r="M46" s="2699"/>
      <c r="N46" s="2685"/>
      <c r="O46" s="2737"/>
      <c r="P46" s="2786"/>
      <c r="Q46" s="2739"/>
      <c r="R46" s="2699"/>
      <c r="S46" s="2699"/>
      <c r="T46" s="2740"/>
      <c r="U46" s="2740"/>
      <c r="V46" s="2691"/>
      <c r="W46" s="2691"/>
      <c r="X46" s="2742"/>
      <c r="Y46" s="2691"/>
    </row>
    <row r="47" spans="1:25">
      <c r="A47" s="3405">
        <v>4182</v>
      </c>
      <c r="B47" s="3405"/>
      <c r="C47" s="3405" t="s">
        <v>109</v>
      </c>
      <c r="D47" s="3418" t="s">
        <v>4582</v>
      </c>
      <c r="E47" s="2694" t="s">
        <v>4583</v>
      </c>
      <c r="F47" s="2736"/>
      <c r="G47" s="2787"/>
      <c r="H47" s="2709">
        <f>SUM(H48)</f>
        <v>266426</v>
      </c>
      <c r="I47" s="2697"/>
      <c r="J47" s="2697"/>
      <c r="K47" s="2709">
        <f>+K48</f>
        <v>266426</v>
      </c>
      <c r="L47" s="2711">
        <f>SUM(L48:L49)</f>
        <v>1</v>
      </c>
      <c r="M47" s="2709">
        <f>SUM(M48)</f>
        <v>235283</v>
      </c>
      <c r="N47" s="2712">
        <f>N48</f>
        <v>0.8831</v>
      </c>
      <c r="O47" s="3407">
        <f>IF(P48&gt;0,N48,"NA")</f>
        <v>0.8831</v>
      </c>
      <c r="P47" s="2713">
        <f>SUM(P48)</f>
        <v>24791608572</v>
      </c>
      <c r="Q47" s="2713">
        <f t="shared" ref="Q47:S47" si="13">SUM(Q48)</f>
        <v>24978608572</v>
      </c>
      <c r="R47" s="2713">
        <f t="shared" si="13"/>
        <v>8838709964</v>
      </c>
      <c r="S47" s="2713">
        <f t="shared" si="13"/>
        <v>8633258964</v>
      </c>
      <c r="T47" s="2714">
        <f t="shared" ref="T47:T48" si="14">+IF(Q47=0,0,R47/Q47)</f>
        <v>0.35385117383631343</v>
      </c>
      <c r="U47" s="2714">
        <f>+IF(R47=0,0,S47/R47)</f>
        <v>0.97675554454928371</v>
      </c>
      <c r="V47" s="2715"/>
      <c r="W47" s="2715"/>
      <c r="X47" s="2716"/>
      <c r="Y47" s="3405" t="s">
        <v>4568</v>
      </c>
    </row>
    <row r="48" spans="1:25" ht="256.5">
      <c r="A48" s="3405"/>
      <c r="B48" s="3405"/>
      <c r="C48" s="3405"/>
      <c r="D48" s="3418"/>
      <c r="E48" s="2694" t="s">
        <v>4584</v>
      </c>
      <c r="F48" s="2736"/>
      <c r="G48" s="2708" t="s">
        <v>4580</v>
      </c>
      <c r="H48" s="2709">
        <v>266426</v>
      </c>
      <c r="I48" s="2697" t="s">
        <v>4585</v>
      </c>
      <c r="J48" s="2697" t="s">
        <v>4580</v>
      </c>
      <c r="K48" s="2709">
        <v>266426</v>
      </c>
      <c r="L48" s="2711">
        <v>1</v>
      </c>
      <c r="M48" s="2709">
        <v>235283</v>
      </c>
      <c r="N48" s="2712">
        <v>0.8831</v>
      </c>
      <c r="O48" s="3407"/>
      <c r="P48" s="2770">
        <v>24791608572</v>
      </c>
      <c r="Q48" s="2770">
        <v>24978608572</v>
      </c>
      <c r="R48" s="2754">
        <v>8838709964</v>
      </c>
      <c r="S48" s="2754">
        <v>8633258964</v>
      </c>
      <c r="T48" s="2714">
        <f t="shared" si="14"/>
        <v>0.35385117383631343</v>
      </c>
      <c r="U48" s="2714">
        <f>+IF(R48=0,0,S48/R48)</f>
        <v>0.97675554454928371</v>
      </c>
      <c r="V48" s="2715">
        <v>45448</v>
      </c>
      <c r="W48" s="2715" t="s">
        <v>5747</v>
      </c>
      <c r="X48" s="2721" t="s">
        <v>5748</v>
      </c>
      <c r="Y48" s="3405"/>
    </row>
    <row r="49" spans="1:25" ht="38.25">
      <c r="A49" s="2699"/>
      <c r="B49" s="2699">
        <v>52030090008</v>
      </c>
      <c r="C49" s="2699" t="s">
        <v>103</v>
      </c>
      <c r="D49" s="2700" t="s">
        <v>4586</v>
      </c>
      <c r="E49" s="2744"/>
      <c r="F49" s="2709">
        <v>6527</v>
      </c>
      <c r="G49" s="2697"/>
      <c r="H49" s="2697"/>
      <c r="I49" s="2697"/>
      <c r="J49" s="2697"/>
      <c r="K49" s="2697"/>
      <c r="L49" s="2697"/>
      <c r="M49" s="2699"/>
      <c r="N49" s="2685"/>
      <c r="O49" s="2737"/>
      <c r="P49" s="2786"/>
      <c r="Q49" s="2739"/>
      <c r="R49" s="2699"/>
      <c r="S49" s="2699"/>
      <c r="T49" s="2740"/>
      <c r="U49" s="2740"/>
      <c r="V49" s="2715"/>
      <c r="W49" s="2715"/>
      <c r="X49" s="2742"/>
      <c r="Y49" s="3405" t="s">
        <v>4568</v>
      </c>
    </row>
    <row r="50" spans="1:25">
      <c r="A50" s="3405">
        <v>4182</v>
      </c>
      <c r="B50" s="3405"/>
      <c r="C50" s="3405" t="s">
        <v>109</v>
      </c>
      <c r="D50" s="3418" t="s">
        <v>4587</v>
      </c>
      <c r="E50" s="2694" t="s">
        <v>4588</v>
      </c>
      <c r="F50" s="2707"/>
      <c r="G50" s="2694"/>
      <c r="H50" s="2709">
        <f>SUM(H51)</f>
        <v>6527</v>
      </c>
      <c r="I50" s="2697"/>
      <c r="J50" s="2697"/>
      <c r="K50" s="2709">
        <f>+K51</f>
        <v>6527</v>
      </c>
      <c r="L50" s="2711">
        <f>SUM(L51:L52)</f>
        <v>1</v>
      </c>
      <c r="M50" s="2697">
        <f>SUM(M51)</f>
        <v>0</v>
      </c>
      <c r="N50" s="2712">
        <f>SUM(N51)</f>
        <v>0</v>
      </c>
      <c r="O50" s="3407">
        <v>0</v>
      </c>
      <c r="P50" s="2713">
        <f>SUM(P51)</f>
        <v>9850993932</v>
      </c>
      <c r="Q50" s="2713">
        <f t="shared" ref="Q50:S50" si="15">SUM(Q51)</f>
        <v>9850993932</v>
      </c>
      <c r="R50" s="2713">
        <f t="shared" si="15"/>
        <v>0</v>
      </c>
      <c r="S50" s="2713">
        <f t="shared" si="15"/>
        <v>0</v>
      </c>
      <c r="T50" s="2714">
        <f t="shared" ref="T50:T51" si="16">+IF(Q50=0,0,R50/Q50)</f>
        <v>0</v>
      </c>
      <c r="U50" s="2714">
        <f>+IF(R50=0,0,S50/R50)</f>
        <v>0</v>
      </c>
      <c r="V50" s="2715"/>
      <c r="W50" s="2715"/>
      <c r="X50" s="2716"/>
      <c r="Y50" s="3405"/>
    </row>
    <row r="51" spans="1:25" ht="54">
      <c r="A51" s="3405"/>
      <c r="B51" s="3405"/>
      <c r="C51" s="3405"/>
      <c r="D51" s="3418"/>
      <c r="E51" s="2694" t="s">
        <v>4589</v>
      </c>
      <c r="F51" s="2697"/>
      <c r="G51" s="2694" t="s">
        <v>4586</v>
      </c>
      <c r="H51" s="2709">
        <v>6527</v>
      </c>
      <c r="I51" s="2697" t="s">
        <v>4590</v>
      </c>
      <c r="J51" s="2697" t="s">
        <v>4591</v>
      </c>
      <c r="K51" s="2709">
        <v>6527</v>
      </c>
      <c r="L51" s="2711">
        <v>1</v>
      </c>
      <c r="M51" s="2697">
        <v>0</v>
      </c>
      <c r="N51" s="2712">
        <v>0</v>
      </c>
      <c r="O51" s="3407"/>
      <c r="P51" s="2770">
        <v>9850993932</v>
      </c>
      <c r="Q51" s="2770">
        <v>9850993932</v>
      </c>
      <c r="R51" s="2788">
        <v>0</v>
      </c>
      <c r="S51" s="2788">
        <v>0</v>
      </c>
      <c r="T51" s="2714">
        <f t="shared" si="16"/>
        <v>0</v>
      </c>
      <c r="U51" s="2714">
        <f>+IF(R51=0,0,S51/R51)</f>
        <v>0</v>
      </c>
      <c r="V51" s="2691"/>
      <c r="W51" s="2691"/>
      <c r="X51" s="2716"/>
      <c r="Y51" s="3405"/>
    </row>
    <row r="52" spans="1:25" ht="38.25">
      <c r="A52" s="2699"/>
      <c r="B52" s="2699">
        <v>52030090009</v>
      </c>
      <c r="C52" s="2699" t="s">
        <v>103</v>
      </c>
      <c r="D52" s="2700" t="s">
        <v>4592</v>
      </c>
      <c r="E52" s="2694"/>
      <c r="F52" s="2709">
        <v>5267</v>
      </c>
      <c r="G52" s="2694"/>
      <c r="H52" s="2709"/>
      <c r="I52" s="2697"/>
      <c r="J52" s="2697"/>
      <c r="K52" s="2697"/>
      <c r="L52" s="2711"/>
      <c r="M52" s="2699"/>
      <c r="N52" s="2685"/>
      <c r="O52" s="2737"/>
      <c r="P52" s="2786"/>
      <c r="Q52" s="2739"/>
      <c r="R52" s="2699"/>
      <c r="S52" s="2699"/>
      <c r="T52" s="2740"/>
      <c r="U52" s="2740"/>
      <c r="V52" s="2789"/>
      <c r="W52" s="2715"/>
      <c r="X52" s="2742"/>
      <c r="Y52" s="3405" t="s">
        <v>4568</v>
      </c>
    </row>
    <row r="53" spans="1:25">
      <c r="A53" s="3405">
        <v>4182</v>
      </c>
      <c r="B53" s="3405"/>
      <c r="C53" s="3405" t="s">
        <v>109</v>
      </c>
      <c r="D53" s="3409" t="s">
        <v>4593</v>
      </c>
      <c r="E53" s="2694" t="s">
        <v>4594</v>
      </c>
      <c r="F53" s="2710"/>
      <c r="G53" s="2694"/>
      <c r="H53" s="2709">
        <f>+H54</f>
        <v>5267</v>
      </c>
      <c r="I53" s="2697"/>
      <c r="J53" s="2697"/>
      <c r="K53" s="2697">
        <f>+K54</f>
        <v>5</v>
      </c>
      <c r="L53" s="2711">
        <f>SUM(L54:L54)</f>
        <v>1</v>
      </c>
      <c r="M53" s="2697">
        <f>SUM(M54)</f>
        <v>0</v>
      </c>
      <c r="N53" s="2712">
        <f>SUM(N54)</f>
        <v>0</v>
      </c>
      <c r="O53" s="3407">
        <f>IF(P54&gt;0,N54,"NA")</f>
        <v>0</v>
      </c>
      <c r="P53" s="2713">
        <f>SUM(P54)</f>
        <v>865898166</v>
      </c>
      <c r="Q53" s="2713">
        <f t="shared" ref="Q53:S53" si="17">SUM(Q54)</f>
        <v>865898166</v>
      </c>
      <c r="R53" s="2713">
        <f t="shared" si="17"/>
        <v>0</v>
      </c>
      <c r="S53" s="2713">
        <f t="shared" si="17"/>
        <v>0</v>
      </c>
      <c r="T53" s="2714">
        <f t="shared" ref="T53:U58" si="18">+IF(Q53=0,0,R53/Q53)</f>
        <v>0</v>
      </c>
      <c r="U53" s="2714">
        <f t="shared" si="18"/>
        <v>0</v>
      </c>
      <c r="V53" s="2715"/>
      <c r="W53" s="2715"/>
      <c r="X53" s="2716"/>
      <c r="Y53" s="3405"/>
    </row>
    <row r="54" spans="1:25" ht="94.5">
      <c r="A54" s="3405"/>
      <c r="B54" s="3405"/>
      <c r="C54" s="3405"/>
      <c r="D54" s="3409"/>
      <c r="E54" s="2694" t="s">
        <v>4595</v>
      </c>
      <c r="F54" s="2697"/>
      <c r="G54" s="2694" t="s">
        <v>4592</v>
      </c>
      <c r="H54" s="2709">
        <v>5267</v>
      </c>
      <c r="I54" s="2697" t="s">
        <v>4596</v>
      </c>
      <c r="J54" s="2697" t="s">
        <v>4597</v>
      </c>
      <c r="K54" s="2697">
        <v>5</v>
      </c>
      <c r="L54" s="2711">
        <v>1</v>
      </c>
      <c r="M54" s="2697">
        <v>0</v>
      </c>
      <c r="N54" s="2712">
        <v>0</v>
      </c>
      <c r="O54" s="3407"/>
      <c r="P54" s="2770">
        <v>865898166</v>
      </c>
      <c r="Q54" s="2770">
        <v>865898166</v>
      </c>
      <c r="R54" s="2697">
        <v>0</v>
      </c>
      <c r="S54" s="2697">
        <v>0</v>
      </c>
      <c r="T54" s="2714">
        <f t="shared" si="18"/>
        <v>0</v>
      </c>
      <c r="U54" s="2714">
        <f t="shared" si="18"/>
        <v>0</v>
      </c>
      <c r="V54" s="2691"/>
      <c r="W54" s="2691"/>
      <c r="X54" s="2716"/>
      <c r="Y54" s="3405"/>
    </row>
    <row r="55" spans="1:25">
      <c r="A55" s="3405">
        <v>4182</v>
      </c>
      <c r="B55" s="3405"/>
      <c r="C55" s="3405" t="s">
        <v>109</v>
      </c>
      <c r="D55" s="3409" t="s">
        <v>4598</v>
      </c>
      <c r="E55" s="2694" t="s">
        <v>4599</v>
      </c>
      <c r="F55" s="2709">
        <v>3425</v>
      </c>
      <c r="G55" s="2694"/>
      <c r="H55" s="2709">
        <f>+H56</f>
        <v>3425</v>
      </c>
      <c r="I55" s="2697"/>
      <c r="J55" s="2697"/>
      <c r="K55" s="2697">
        <f>+K56</f>
        <v>2</v>
      </c>
      <c r="L55" s="2711">
        <f>SUM(L56:L56)</f>
        <v>1</v>
      </c>
      <c r="M55" s="2697">
        <f>SUM(M56)</f>
        <v>0</v>
      </c>
      <c r="N55" s="2790">
        <f>SUM(N56)</f>
        <v>0</v>
      </c>
      <c r="O55" s="3407">
        <f>IF(P56&gt;0,N56,"NA")</f>
        <v>0</v>
      </c>
      <c r="P55" s="2713">
        <f>SUM(P56)</f>
        <v>32488579</v>
      </c>
      <c r="Q55" s="2713">
        <f t="shared" ref="Q55:S55" si="19">SUM(Q56)</f>
        <v>32488579</v>
      </c>
      <c r="R55" s="2713">
        <f t="shared" si="19"/>
        <v>0</v>
      </c>
      <c r="S55" s="2713">
        <f t="shared" si="19"/>
        <v>0</v>
      </c>
      <c r="T55" s="2714">
        <f t="shared" si="18"/>
        <v>0</v>
      </c>
      <c r="U55" s="2714">
        <f t="shared" si="18"/>
        <v>0</v>
      </c>
      <c r="V55" s="2026"/>
      <c r="W55" s="2715"/>
      <c r="X55" s="2716"/>
      <c r="Y55" s="3405" t="s">
        <v>4528</v>
      </c>
    </row>
    <row r="56" spans="1:25" ht="54">
      <c r="A56" s="3405"/>
      <c r="B56" s="3405"/>
      <c r="C56" s="3405"/>
      <c r="D56" s="3409"/>
      <c r="E56" s="2694" t="s">
        <v>4600</v>
      </c>
      <c r="F56" s="2697"/>
      <c r="G56" s="2694" t="s">
        <v>4601</v>
      </c>
      <c r="H56" s="2709">
        <v>3425</v>
      </c>
      <c r="I56" s="2697" t="s">
        <v>4602</v>
      </c>
      <c r="J56" s="2697" t="s">
        <v>4597</v>
      </c>
      <c r="K56" s="2697">
        <v>2</v>
      </c>
      <c r="L56" s="2711">
        <v>1</v>
      </c>
      <c r="M56" s="2697">
        <v>0</v>
      </c>
      <c r="N56" s="2790">
        <v>0</v>
      </c>
      <c r="O56" s="3407"/>
      <c r="P56" s="2770">
        <v>32488579</v>
      </c>
      <c r="Q56" s="2770">
        <v>32488579</v>
      </c>
      <c r="R56" s="2754">
        <v>0</v>
      </c>
      <c r="S56" s="2754">
        <v>0</v>
      </c>
      <c r="T56" s="2714">
        <f t="shared" si="18"/>
        <v>0</v>
      </c>
      <c r="U56" s="2714">
        <f t="shared" si="18"/>
        <v>0</v>
      </c>
      <c r="V56" s="2715"/>
      <c r="W56" s="2715"/>
      <c r="X56" s="2743"/>
      <c r="Y56" s="3405"/>
    </row>
    <row r="57" spans="1:25">
      <c r="A57" s="3405">
        <v>4182</v>
      </c>
      <c r="B57" s="3405"/>
      <c r="C57" s="3405" t="s">
        <v>109</v>
      </c>
      <c r="D57" s="3409" t="s">
        <v>4603</v>
      </c>
      <c r="E57" s="2694" t="s">
        <v>4604</v>
      </c>
      <c r="F57" s="2710">
        <v>1</v>
      </c>
      <c r="G57" s="2694"/>
      <c r="H57" s="2709">
        <f>+H58</f>
        <v>100</v>
      </c>
      <c r="I57" s="2697"/>
      <c r="J57" s="2697"/>
      <c r="K57" s="2697">
        <f>+K58</f>
        <v>1</v>
      </c>
      <c r="L57" s="2711">
        <v>1</v>
      </c>
      <c r="M57" s="2697">
        <f>SUM(M58)</f>
        <v>0</v>
      </c>
      <c r="N57" s="2712">
        <f>SUM(N58)</f>
        <v>0</v>
      </c>
      <c r="O57" s="3407">
        <f>IF(P58&gt;0,N58,"NA")</f>
        <v>0</v>
      </c>
      <c r="P57" s="2713">
        <f>SUM(P58)</f>
        <v>6024090256</v>
      </c>
      <c r="Q57" s="2713">
        <f t="shared" ref="Q57:S57" si="20">SUM(Q58)</f>
        <v>6024090256</v>
      </c>
      <c r="R57" s="2720">
        <f t="shared" si="20"/>
        <v>0</v>
      </c>
      <c r="S57" s="2720">
        <f t="shared" si="20"/>
        <v>0</v>
      </c>
      <c r="T57" s="2714">
        <f t="shared" si="18"/>
        <v>0</v>
      </c>
      <c r="U57" s="2714">
        <f t="shared" si="18"/>
        <v>0</v>
      </c>
      <c r="V57" s="2027"/>
      <c r="W57" s="2715"/>
      <c r="X57" s="2716"/>
      <c r="Y57" s="3429" t="s">
        <v>4528</v>
      </c>
    </row>
    <row r="58" spans="1:25" ht="54">
      <c r="A58" s="3405"/>
      <c r="B58" s="3405"/>
      <c r="C58" s="3405"/>
      <c r="D58" s="3409"/>
      <c r="E58" s="2694" t="s">
        <v>4605</v>
      </c>
      <c r="F58" s="2697"/>
      <c r="G58" s="2694" t="s">
        <v>4592</v>
      </c>
      <c r="H58" s="2709">
        <v>100</v>
      </c>
      <c r="I58" s="2697" t="s">
        <v>4606</v>
      </c>
      <c r="J58" s="2697" t="s">
        <v>4607</v>
      </c>
      <c r="K58" s="2697">
        <v>1</v>
      </c>
      <c r="L58" s="2711">
        <v>1</v>
      </c>
      <c r="M58" s="2697">
        <v>0</v>
      </c>
      <c r="N58" s="2712">
        <v>0</v>
      </c>
      <c r="O58" s="3407"/>
      <c r="P58" s="2770">
        <v>6024090256</v>
      </c>
      <c r="Q58" s="2770">
        <v>6024090256</v>
      </c>
      <c r="R58" s="2697">
        <v>0</v>
      </c>
      <c r="S58" s="2697">
        <v>0</v>
      </c>
      <c r="T58" s="2714">
        <f t="shared" si="18"/>
        <v>0</v>
      </c>
      <c r="U58" s="2714">
        <f t="shared" si="18"/>
        <v>0</v>
      </c>
      <c r="V58" s="2691"/>
      <c r="W58" s="2691"/>
      <c r="X58" s="2716"/>
      <c r="Y58" s="3429"/>
    </row>
    <row r="59" spans="1:25">
      <c r="A59" s="2697"/>
      <c r="B59" s="2697">
        <v>5205</v>
      </c>
      <c r="C59" s="2692" t="s">
        <v>101</v>
      </c>
      <c r="D59" s="2758" t="s">
        <v>4608</v>
      </c>
      <c r="E59" s="2694"/>
      <c r="F59" s="2736"/>
      <c r="G59" s="2694"/>
      <c r="H59" s="2697"/>
      <c r="I59" s="2697"/>
      <c r="J59" s="2710"/>
      <c r="K59" s="2697"/>
      <c r="L59" s="2697"/>
      <c r="M59" s="2699"/>
      <c r="N59" s="2685"/>
      <c r="O59" s="2737"/>
      <c r="P59" s="2752"/>
      <c r="Q59" s="2739"/>
      <c r="R59" s="2699"/>
      <c r="S59" s="2699"/>
      <c r="T59" s="2740"/>
      <c r="U59" s="2740"/>
      <c r="V59" s="2691"/>
      <c r="W59" s="2691"/>
      <c r="X59" s="2742"/>
      <c r="Y59" s="2691"/>
    </row>
    <row r="60" spans="1:25" ht="33">
      <c r="A60" s="2697"/>
      <c r="B60" s="2697">
        <v>5205001</v>
      </c>
      <c r="C60" s="2692" t="s">
        <v>102</v>
      </c>
      <c r="D60" s="2693" t="s">
        <v>171</v>
      </c>
      <c r="E60" s="2694"/>
      <c r="F60" s="2736"/>
      <c r="G60" s="2694"/>
      <c r="H60" s="2697"/>
      <c r="I60" s="2697"/>
      <c r="J60" s="2697"/>
      <c r="K60" s="2697"/>
      <c r="L60" s="2697"/>
      <c r="M60" s="2699"/>
      <c r="N60" s="2685"/>
      <c r="O60" s="2737"/>
      <c r="P60" s="2752"/>
      <c r="Q60" s="2739"/>
      <c r="R60" s="2699"/>
      <c r="S60" s="2699"/>
      <c r="T60" s="2740"/>
      <c r="U60" s="2740"/>
      <c r="V60" s="2691"/>
      <c r="W60" s="2691"/>
      <c r="X60" s="2742"/>
      <c r="Y60" s="2691"/>
    </row>
    <row r="61" spans="1:25" ht="38.25">
      <c r="A61" s="2697"/>
      <c r="B61" s="2699">
        <v>52050010009</v>
      </c>
      <c r="C61" s="2699" t="s">
        <v>103</v>
      </c>
      <c r="D61" s="2700" t="s">
        <v>4609</v>
      </c>
      <c r="E61" s="2694"/>
      <c r="F61" s="2736">
        <v>39</v>
      </c>
      <c r="G61" s="2694"/>
      <c r="H61" s="2697"/>
      <c r="I61" s="2697"/>
      <c r="J61" s="2697"/>
      <c r="K61" s="2697"/>
      <c r="L61" s="2697"/>
      <c r="M61" s="2699"/>
      <c r="N61" s="2685"/>
      <c r="O61" s="2737"/>
      <c r="P61" s="2752"/>
      <c r="Q61" s="2739"/>
      <c r="R61" s="2699"/>
      <c r="S61" s="2699"/>
      <c r="T61" s="2740"/>
      <c r="U61" s="2740"/>
      <c r="V61" s="2691"/>
      <c r="W61" s="2705"/>
      <c r="X61" s="2742"/>
      <c r="Y61" s="2691"/>
    </row>
    <row r="62" spans="1:25">
      <c r="A62" s="3405">
        <v>4182</v>
      </c>
      <c r="B62" s="3405"/>
      <c r="C62" s="3405" t="s">
        <v>109</v>
      </c>
      <c r="D62" s="3409" t="s">
        <v>4610</v>
      </c>
      <c r="E62" s="2694" t="s">
        <v>4611</v>
      </c>
      <c r="F62" s="2736"/>
      <c r="G62" s="2694"/>
      <c r="H62" s="2697">
        <f>+H63</f>
        <v>39</v>
      </c>
      <c r="I62" s="2697"/>
      <c r="J62" s="2697"/>
      <c r="K62" s="2697">
        <f>+K63</f>
        <v>39</v>
      </c>
      <c r="L62" s="2711">
        <f>SUM(L63:L64)</f>
        <v>1</v>
      </c>
      <c r="M62" s="2697">
        <v>0</v>
      </c>
      <c r="N62" s="2712">
        <f>SUM(N63)</f>
        <v>0.47</v>
      </c>
      <c r="O62" s="3407">
        <f>IF(Q62&gt;0,N62,"NA")</f>
        <v>0.47</v>
      </c>
      <c r="P62" s="2770">
        <f>SUM(P63:P64)</f>
        <v>9574053207</v>
      </c>
      <c r="Q62" s="2770">
        <f t="shared" ref="Q62:U62" si="21">SUM(Q63:Q64)</f>
        <v>9574053207</v>
      </c>
      <c r="R62" s="2754">
        <f t="shared" si="21"/>
        <v>399606613</v>
      </c>
      <c r="S62" s="2754">
        <f t="shared" si="21"/>
        <v>228775508</v>
      </c>
      <c r="T62" s="2791">
        <f t="shared" si="21"/>
        <v>4.173849929179739E-2</v>
      </c>
      <c r="U62" s="2791">
        <f t="shared" si="21"/>
        <v>0.57250180692079788</v>
      </c>
      <c r="V62" s="2028"/>
      <c r="W62" s="2715"/>
      <c r="X62" s="2721"/>
      <c r="Y62" s="2697"/>
    </row>
    <row r="63" spans="1:25" ht="162">
      <c r="A63" s="3405"/>
      <c r="B63" s="3405"/>
      <c r="C63" s="3405"/>
      <c r="D63" s="3409"/>
      <c r="E63" s="2694" t="s">
        <v>4612</v>
      </c>
      <c r="F63" s="2736"/>
      <c r="G63" s="2694" t="s">
        <v>4613</v>
      </c>
      <c r="H63" s="2697">
        <v>39</v>
      </c>
      <c r="I63" s="2697" t="s">
        <v>4614</v>
      </c>
      <c r="J63" s="2697" t="s">
        <v>4615</v>
      </c>
      <c r="K63" s="2697">
        <v>39</v>
      </c>
      <c r="L63" s="2711">
        <v>1</v>
      </c>
      <c r="M63" s="2697">
        <v>0</v>
      </c>
      <c r="N63" s="2712">
        <v>0.47</v>
      </c>
      <c r="O63" s="3407"/>
      <c r="P63" s="2770">
        <v>9574053207</v>
      </c>
      <c r="Q63" s="2770">
        <v>9574053207</v>
      </c>
      <c r="R63" s="2754">
        <v>399606613</v>
      </c>
      <c r="S63" s="2754">
        <v>228775508</v>
      </c>
      <c r="T63" s="2714">
        <f t="shared" ref="T63" si="22">+IF(Q63=0,0,R63/Q63)</f>
        <v>4.173849929179739E-2</v>
      </c>
      <c r="U63" s="2714">
        <f>+IF(R63=0,0,S63/R63)</f>
        <v>0.57250180692079788</v>
      </c>
      <c r="V63" s="2715">
        <v>45337</v>
      </c>
      <c r="W63" s="2715">
        <v>45657</v>
      </c>
      <c r="X63" s="2721" t="s">
        <v>5749</v>
      </c>
      <c r="Y63" s="2697" t="s">
        <v>4528</v>
      </c>
    </row>
    <row r="64" spans="1:25">
      <c r="A64" s="2680"/>
      <c r="B64" s="2748">
        <v>53</v>
      </c>
      <c r="C64" s="2748" t="s">
        <v>100</v>
      </c>
      <c r="D64" s="2758" t="s">
        <v>175</v>
      </c>
      <c r="E64" s="2681"/>
      <c r="F64" s="2792"/>
      <c r="G64" s="2681"/>
      <c r="H64" s="2680"/>
      <c r="I64" s="2680"/>
      <c r="J64" s="2680"/>
      <c r="K64" s="2680"/>
      <c r="L64" s="2793"/>
      <c r="M64" s="2699"/>
      <c r="N64" s="2685"/>
      <c r="O64" s="2737"/>
      <c r="P64" s="2786"/>
      <c r="Q64" s="2739"/>
      <c r="R64" s="2699"/>
      <c r="S64" s="2699"/>
      <c r="T64" s="2740"/>
      <c r="U64" s="2740"/>
      <c r="V64" s="2679"/>
      <c r="W64" s="2679"/>
      <c r="X64" s="2742"/>
      <c r="Y64" s="2679"/>
    </row>
    <row r="65" spans="1:25">
      <c r="A65" s="2680"/>
      <c r="B65" s="2680">
        <v>5302</v>
      </c>
      <c r="C65" s="2680" t="s">
        <v>101</v>
      </c>
      <c r="D65" s="2681" t="s">
        <v>176</v>
      </c>
      <c r="E65" s="2681"/>
      <c r="F65" s="2792"/>
      <c r="G65" s="2681"/>
      <c r="H65" s="2680"/>
      <c r="I65" s="2680"/>
      <c r="J65" s="2680"/>
      <c r="K65" s="2680"/>
      <c r="L65" s="2793"/>
      <c r="M65" s="2699"/>
      <c r="N65" s="2685"/>
      <c r="O65" s="2737"/>
      <c r="P65" s="2786"/>
      <c r="Q65" s="2739"/>
      <c r="R65" s="2699"/>
      <c r="S65" s="2699"/>
      <c r="T65" s="2740"/>
      <c r="U65" s="2740"/>
      <c r="V65" s="2679"/>
      <c r="W65" s="2679"/>
      <c r="X65" s="2742"/>
      <c r="Y65" s="2679"/>
    </row>
    <row r="66" spans="1:25" ht="33">
      <c r="A66" s="2697"/>
      <c r="B66" s="2697">
        <v>5302001</v>
      </c>
      <c r="C66" s="2692" t="s">
        <v>102</v>
      </c>
      <c r="D66" s="2693" t="s">
        <v>177</v>
      </c>
      <c r="E66" s="2694"/>
      <c r="F66" s="2736"/>
      <c r="G66" s="2694"/>
      <c r="H66" s="2697"/>
      <c r="I66" s="2697"/>
      <c r="J66" s="2697"/>
      <c r="K66" s="2697"/>
      <c r="L66" s="2711"/>
      <c r="M66" s="2699"/>
      <c r="N66" s="2685"/>
      <c r="O66" s="2737"/>
      <c r="P66" s="2786"/>
      <c r="Q66" s="2739"/>
      <c r="R66" s="2699"/>
      <c r="S66" s="2699"/>
      <c r="T66" s="2740"/>
      <c r="U66" s="2740"/>
      <c r="V66" s="2691"/>
      <c r="W66" s="2691"/>
      <c r="X66" s="2742"/>
      <c r="Y66" s="2691"/>
    </row>
    <row r="67" spans="1:25" ht="38.25">
      <c r="A67" s="2699"/>
      <c r="B67" s="2699">
        <v>53020010002</v>
      </c>
      <c r="C67" s="2699" t="s">
        <v>103</v>
      </c>
      <c r="D67" s="2700" t="s">
        <v>4616</v>
      </c>
      <c r="E67" s="2708"/>
      <c r="F67" s="2736">
        <v>25</v>
      </c>
      <c r="G67" s="2694"/>
      <c r="H67" s="2697"/>
      <c r="I67" s="2697"/>
      <c r="J67" s="2697"/>
      <c r="K67" s="2697"/>
      <c r="L67" s="2697"/>
      <c r="M67" s="2699"/>
      <c r="N67" s="2685"/>
      <c r="O67" s="2737"/>
      <c r="P67" s="2786"/>
      <c r="Q67" s="2739"/>
      <c r="R67" s="2699"/>
      <c r="S67" s="2699"/>
      <c r="T67" s="2740"/>
      <c r="U67" s="2740"/>
      <c r="V67" s="2697"/>
      <c r="W67" s="2697"/>
      <c r="X67" s="2742"/>
      <c r="Y67" s="2697"/>
    </row>
    <row r="68" spans="1:25">
      <c r="A68" s="3405">
        <v>4182</v>
      </c>
      <c r="B68" s="3405"/>
      <c r="C68" s="3405" t="s">
        <v>109</v>
      </c>
      <c r="D68" s="3409" t="s">
        <v>4617</v>
      </c>
      <c r="E68" s="2694" t="s">
        <v>4618</v>
      </c>
      <c r="F68" s="2736"/>
      <c r="G68" s="2694"/>
      <c r="H68" s="2710">
        <f>+H69</f>
        <v>25</v>
      </c>
      <c r="I68" s="2697"/>
      <c r="J68" s="2697"/>
      <c r="K68" s="2697">
        <v>1</v>
      </c>
      <c r="L68" s="2711">
        <f>SUM(L69)</f>
        <v>1</v>
      </c>
      <c r="M68" s="2697">
        <f>SUM(M69)</f>
        <v>1</v>
      </c>
      <c r="N68" s="2712">
        <f>SUM(N69)</f>
        <v>0.44</v>
      </c>
      <c r="O68" s="3407">
        <f>IF(Q68&gt;0,N68,"NA")</f>
        <v>0.44</v>
      </c>
      <c r="P68" s="2770">
        <f>SUM(P69)</f>
        <v>662756000</v>
      </c>
      <c r="Q68" s="2770">
        <f t="shared" ref="Q68:S68" si="23">SUM(Q69)</f>
        <v>774438194</v>
      </c>
      <c r="R68" s="2754">
        <f t="shared" si="23"/>
        <v>513866618</v>
      </c>
      <c r="S68" s="2754">
        <f t="shared" si="23"/>
        <v>381486000</v>
      </c>
      <c r="T68" s="2714">
        <f t="shared" ref="T68:U71" si="24">+IF(Q68=0,0,R68/Q68)</f>
        <v>0.66353470422973482</v>
      </c>
      <c r="U68" s="2714">
        <f t="shared" si="24"/>
        <v>0.74238330850283019</v>
      </c>
      <c r="V68" s="2028"/>
      <c r="W68" s="2715"/>
      <c r="X68" s="2716"/>
      <c r="Y68" s="3405" t="s">
        <v>4568</v>
      </c>
    </row>
    <row r="69" spans="1:25" ht="121.5">
      <c r="A69" s="3405"/>
      <c r="B69" s="3405"/>
      <c r="C69" s="3405"/>
      <c r="D69" s="3409"/>
      <c r="E69" s="2694" t="s">
        <v>4619</v>
      </c>
      <c r="F69" s="2707"/>
      <c r="G69" s="2694" t="s">
        <v>4620</v>
      </c>
      <c r="H69" s="2697">
        <v>25</v>
      </c>
      <c r="I69" s="2697" t="s">
        <v>4621</v>
      </c>
      <c r="J69" s="2697" t="s">
        <v>4622</v>
      </c>
      <c r="K69" s="2697">
        <v>1</v>
      </c>
      <c r="L69" s="2711">
        <v>1</v>
      </c>
      <c r="M69" s="2697">
        <v>1</v>
      </c>
      <c r="N69" s="2712">
        <v>0.44</v>
      </c>
      <c r="O69" s="3407"/>
      <c r="P69" s="2770">
        <v>662756000</v>
      </c>
      <c r="Q69" s="2754">
        <v>774438194</v>
      </c>
      <c r="R69" s="2754">
        <v>513866618</v>
      </c>
      <c r="S69" s="2754">
        <v>381486000</v>
      </c>
      <c r="T69" s="2714">
        <f t="shared" si="24"/>
        <v>0.66353470422973482</v>
      </c>
      <c r="U69" s="2714">
        <f t="shared" si="24"/>
        <v>0.74238330850283019</v>
      </c>
      <c r="V69" s="2715">
        <v>45419</v>
      </c>
      <c r="W69" s="2715">
        <v>45657</v>
      </c>
      <c r="X69" s="2743" t="s">
        <v>5750</v>
      </c>
      <c r="Y69" s="3405"/>
    </row>
    <row r="70" spans="1:25">
      <c r="A70" s="3433">
        <v>4182</v>
      </c>
      <c r="B70" s="3405"/>
      <c r="C70" s="3405" t="s">
        <v>109</v>
      </c>
      <c r="D70" s="3409" t="s">
        <v>4623</v>
      </c>
      <c r="E70" s="2694" t="s">
        <v>4624</v>
      </c>
      <c r="F70" s="2697"/>
      <c r="G70" s="2694"/>
      <c r="H70" s="2697">
        <f>+H71</f>
        <v>2</v>
      </c>
      <c r="I70" s="2697"/>
      <c r="J70" s="2697"/>
      <c r="K70" s="2697">
        <v>1</v>
      </c>
      <c r="L70" s="2711">
        <f>SUM(L71)</f>
        <v>1</v>
      </c>
      <c r="M70" s="2697">
        <f>SUM(M756)</f>
        <v>0</v>
      </c>
      <c r="N70" s="2712">
        <f>SUM(N756)</f>
        <v>0</v>
      </c>
      <c r="O70" s="3407">
        <f>IF(Q70&gt;0,N70,"NA")</f>
        <v>0</v>
      </c>
      <c r="P70" s="2770">
        <f>SUM(P71)</f>
        <v>96852576</v>
      </c>
      <c r="Q70" s="2770">
        <f t="shared" ref="Q70:S70" si="25">SUM(Q71)</f>
        <v>96852576</v>
      </c>
      <c r="R70" s="2754">
        <f t="shared" si="25"/>
        <v>0</v>
      </c>
      <c r="S70" s="2754">
        <f t="shared" si="25"/>
        <v>0</v>
      </c>
      <c r="T70" s="2794">
        <f t="shared" si="24"/>
        <v>0</v>
      </c>
      <c r="U70" s="2794">
        <f t="shared" si="24"/>
        <v>0</v>
      </c>
      <c r="V70" s="2028"/>
      <c r="W70" s="2715"/>
      <c r="X70" s="2716"/>
      <c r="Y70" s="3405" t="s">
        <v>4568</v>
      </c>
    </row>
    <row r="71" spans="1:25" ht="67.5">
      <c r="A71" s="3433"/>
      <c r="B71" s="3405"/>
      <c r="C71" s="3405"/>
      <c r="D71" s="3409"/>
      <c r="E71" s="2029" t="s">
        <v>4625</v>
      </c>
      <c r="F71" s="2736"/>
      <c r="G71" s="2694" t="s">
        <v>4620</v>
      </c>
      <c r="H71" s="2697">
        <v>2</v>
      </c>
      <c r="I71" s="2697" t="s">
        <v>4626</v>
      </c>
      <c r="J71" s="2697" t="s">
        <v>4627</v>
      </c>
      <c r="K71" s="2697">
        <v>1</v>
      </c>
      <c r="L71" s="2711">
        <v>1</v>
      </c>
      <c r="M71" s="2697">
        <v>0</v>
      </c>
      <c r="N71" s="2712">
        <v>0</v>
      </c>
      <c r="O71" s="3407"/>
      <c r="P71" s="2770">
        <v>96852576</v>
      </c>
      <c r="Q71" s="2770">
        <v>96852576</v>
      </c>
      <c r="R71" s="2754">
        <v>0</v>
      </c>
      <c r="S71" s="2754">
        <v>0</v>
      </c>
      <c r="T71" s="2794">
        <f t="shared" si="24"/>
        <v>0</v>
      </c>
      <c r="U71" s="2794">
        <f t="shared" si="24"/>
        <v>0</v>
      </c>
      <c r="V71" s="2691"/>
      <c r="W71" s="2691"/>
      <c r="X71" s="2743"/>
      <c r="Y71" s="3405"/>
    </row>
    <row r="72" spans="1:25" ht="38.25">
      <c r="A72" s="2699"/>
      <c r="B72" s="2699">
        <v>53020010004</v>
      </c>
      <c r="C72" s="2699" t="s">
        <v>103</v>
      </c>
      <c r="D72" s="2700" t="s">
        <v>4628</v>
      </c>
      <c r="E72" s="2694"/>
      <c r="F72" s="2736">
        <v>20</v>
      </c>
      <c r="G72" s="2694"/>
      <c r="H72" s="2697"/>
      <c r="I72" s="2697"/>
      <c r="J72" s="2697"/>
      <c r="K72" s="2697"/>
      <c r="L72" s="2711"/>
      <c r="M72" s="2692"/>
      <c r="N72" s="2795"/>
      <c r="O72" s="2796"/>
      <c r="P72" s="2786"/>
      <c r="Q72" s="2739"/>
      <c r="R72" s="2692"/>
      <c r="S72" s="2692"/>
      <c r="T72" s="2797"/>
      <c r="U72" s="2797"/>
      <c r="V72" s="2691"/>
      <c r="W72" s="2691"/>
      <c r="X72" s="2798"/>
      <c r="Y72" s="2691"/>
    </row>
    <row r="73" spans="1:25">
      <c r="A73" s="3413">
        <v>4182</v>
      </c>
      <c r="B73" s="3434"/>
      <c r="C73" s="3405" t="s">
        <v>109</v>
      </c>
      <c r="D73" s="3409" t="s">
        <v>4629</v>
      </c>
      <c r="E73" s="2694" t="s">
        <v>4630</v>
      </c>
      <c r="F73" s="2736"/>
      <c r="G73" s="2708"/>
      <c r="H73" s="2697">
        <f>+H74+H75</f>
        <v>20</v>
      </c>
      <c r="I73" s="2697"/>
      <c r="J73" s="2697"/>
      <c r="K73" s="2709">
        <f>K74+K75</f>
        <v>652652</v>
      </c>
      <c r="L73" s="2711">
        <f>SUM(L74:L75)</f>
        <v>1</v>
      </c>
      <c r="M73" s="2709">
        <f>M74+M75</f>
        <v>228428</v>
      </c>
      <c r="N73" s="2712">
        <f>SUM(N74:N75)</f>
        <v>0.75</v>
      </c>
      <c r="O73" s="3407">
        <f>IF(Q73&gt;0,N73,"NA")</f>
        <v>0.75</v>
      </c>
      <c r="P73" s="2770">
        <f>SUM(P74:P75)</f>
        <v>900000000</v>
      </c>
      <c r="Q73" s="2799">
        <f t="shared" ref="Q73:S73" si="26">SUM(Q74:Q75)</f>
        <v>1040000000</v>
      </c>
      <c r="R73" s="2770">
        <f t="shared" si="26"/>
        <v>546230000</v>
      </c>
      <c r="S73" s="2770">
        <f t="shared" si="26"/>
        <v>442583000</v>
      </c>
      <c r="T73" s="2714">
        <f t="shared" ref="T73:T76" si="27">+IF(Q73=0,0,R73/Q73)</f>
        <v>0.52522115384615387</v>
      </c>
      <c r="U73" s="2714">
        <f>+IF(R73=0,0,S73/R73)</f>
        <v>0.81025026087911689</v>
      </c>
      <c r="V73" s="2027"/>
      <c r="W73" s="2715"/>
      <c r="X73" s="2716"/>
      <c r="Y73" s="3405" t="s">
        <v>4568</v>
      </c>
    </row>
    <row r="74" spans="1:25" ht="94.5">
      <c r="A74" s="3414"/>
      <c r="B74" s="3435"/>
      <c r="C74" s="3405"/>
      <c r="D74" s="3409"/>
      <c r="E74" s="2694" t="s">
        <v>4631</v>
      </c>
      <c r="F74" s="2736"/>
      <c r="G74" s="2694" t="s">
        <v>4632</v>
      </c>
      <c r="H74" s="2697">
        <v>20</v>
      </c>
      <c r="I74" s="2697" t="s">
        <v>4633</v>
      </c>
      <c r="J74" s="2694" t="s">
        <v>4634</v>
      </c>
      <c r="K74" s="2697">
        <v>1</v>
      </c>
      <c r="L74" s="2711">
        <v>0.6</v>
      </c>
      <c r="M74" s="2697">
        <v>1</v>
      </c>
      <c r="N74" s="2712">
        <v>0.4</v>
      </c>
      <c r="O74" s="3407"/>
      <c r="P74" s="2770">
        <v>724827140</v>
      </c>
      <c r="Q74" s="2770">
        <v>859232140</v>
      </c>
      <c r="R74" s="2770">
        <v>415901888</v>
      </c>
      <c r="S74" s="2770">
        <v>358629888</v>
      </c>
      <c r="T74" s="2714">
        <f t="shared" si="27"/>
        <v>0.48403902582135722</v>
      </c>
      <c r="U74" s="2714">
        <f>+IF(R74=0,0,S74/R74)</f>
        <v>0.86229444575159031</v>
      </c>
      <c r="V74" s="2715">
        <v>45449</v>
      </c>
      <c r="W74" s="2715">
        <v>45657</v>
      </c>
      <c r="X74" s="2716" t="s">
        <v>5751</v>
      </c>
      <c r="Y74" s="3405"/>
    </row>
    <row r="75" spans="1:25" ht="175.5">
      <c r="A75" s="3414"/>
      <c r="B75" s="3435"/>
      <c r="C75" s="3405"/>
      <c r="D75" s="3409"/>
      <c r="E75" s="2694" t="s">
        <v>4635</v>
      </c>
      <c r="F75" s="2736"/>
      <c r="G75" s="2694"/>
      <c r="H75" s="2697"/>
      <c r="I75" s="2800" t="s">
        <v>4636</v>
      </c>
      <c r="J75" s="2697" t="s">
        <v>4637</v>
      </c>
      <c r="K75" s="2709">
        <v>652651</v>
      </c>
      <c r="L75" s="2711">
        <v>0.4</v>
      </c>
      <c r="M75" s="2709">
        <v>228427</v>
      </c>
      <c r="N75" s="2712">
        <v>0.35</v>
      </c>
      <c r="O75" s="3407"/>
      <c r="P75" s="2770">
        <v>175172860</v>
      </c>
      <c r="Q75" s="2770">
        <v>180767860</v>
      </c>
      <c r="R75" s="2770">
        <v>130328112</v>
      </c>
      <c r="S75" s="2770">
        <v>83953112</v>
      </c>
      <c r="T75" s="2714">
        <f t="shared" si="27"/>
        <v>0.72096949092609719</v>
      </c>
      <c r="U75" s="2714">
        <f>+IF(R75=0,0,S75/R75)</f>
        <v>0.64416733052957909</v>
      </c>
      <c r="V75" s="2715">
        <v>45449</v>
      </c>
      <c r="W75" s="2715">
        <v>45657</v>
      </c>
      <c r="X75" s="2716" t="s">
        <v>5752</v>
      </c>
      <c r="Y75" s="3405"/>
    </row>
    <row r="76" spans="1:25">
      <c r="A76" s="3414"/>
      <c r="B76" s="3435"/>
      <c r="C76" s="3413" t="s">
        <v>109</v>
      </c>
      <c r="D76" s="3413" t="s">
        <v>4638</v>
      </c>
      <c r="E76" s="2694" t="s">
        <v>4639</v>
      </c>
      <c r="F76" s="2736"/>
      <c r="G76" s="2694"/>
      <c r="H76" s="2801">
        <f>+SUM(H77)</f>
        <v>23.5</v>
      </c>
      <c r="I76" s="2800"/>
      <c r="J76" s="2697"/>
      <c r="K76" s="2709">
        <f>+K77</f>
        <v>99366</v>
      </c>
      <c r="L76" s="2711">
        <f>+L77</f>
        <v>1</v>
      </c>
      <c r="M76" s="2709">
        <f>+M77</f>
        <v>0</v>
      </c>
      <c r="N76" s="2712">
        <f>+N77</f>
        <v>0</v>
      </c>
      <c r="O76" s="3407">
        <f>IF(Q76&gt;0,N76,"NA")</f>
        <v>0</v>
      </c>
      <c r="P76" s="2770">
        <f>P77</f>
        <v>7185731677</v>
      </c>
      <c r="Q76" s="2770">
        <f>+Q77</f>
        <v>7185731677</v>
      </c>
      <c r="R76" s="2770">
        <f>+R77</f>
        <v>0</v>
      </c>
      <c r="S76" s="2770">
        <f>+S77</f>
        <v>0</v>
      </c>
      <c r="T76" s="2714">
        <f t="shared" si="27"/>
        <v>0</v>
      </c>
      <c r="U76" s="2714">
        <f>+IF(R76=0,0,S76/R76)</f>
        <v>0</v>
      </c>
      <c r="V76" s="2027"/>
      <c r="W76" s="2715"/>
      <c r="X76" s="2716"/>
      <c r="Y76" s="3413" t="s">
        <v>4528</v>
      </c>
    </row>
    <row r="77" spans="1:25" ht="40.5">
      <c r="A77" s="3415"/>
      <c r="B77" s="3436"/>
      <c r="C77" s="3415"/>
      <c r="D77" s="3415"/>
      <c r="E77" s="2708" t="s">
        <v>4640</v>
      </c>
      <c r="F77" s="2736"/>
      <c r="G77" s="2694" t="s">
        <v>4641</v>
      </c>
      <c r="H77" s="2697">
        <v>23.5</v>
      </c>
      <c r="I77" s="2800" t="s">
        <v>5753</v>
      </c>
      <c r="J77" s="2697" t="s">
        <v>4642</v>
      </c>
      <c r="K77" s="2709">
        <v>99366</v>
      </c>
      <c r="L77" s="2711">
        <v>1</v>
      </c>
      <c r="M77" s="2709">
        <v>0</v>
      </c>
      <c r="N77" s="2712">
        <v>0</v>
      </c>
      <c r="O77" s="3407"/>
      <c r="P77" s="2770">
        <v>7185731677</v>
      </c>
      <c r="Q77" s="2770">
        <v>7185731677</v>
      </c>
      <c r="R77" s="2754">
        <v>0</v>
      </c>
      <c r="S77" s="2754">
        <v>0</v>
      </c>
      <c r="T77" s="2714">
        <f>+IF(Q77=0,0,R77/Q77)</f>
        <v>0</v>
      </c>
      <c r="U77" s="2714">
        <f>+IF(R77=0,0,S77/R77)</f>
        <v>0</v>
      </c>
      <c r="V77" s="2715"/>
      <c r="W77" s="2715"/>
      <c r="X77" s="2716"/>
      <c r="Y77" s="3415"/>
    </row>
    <row r="78" spans="1:25" ht="63.75">
      <c r="A78" s="2699"/>
      <c r="B78" s="2699">
        <v>53020010005</v>
      </c>
      <c r="C78" s="2699" t="s">
        <v>103</v>
      </c>
      <c r="D78" s="2700" t="s">
        <v>4643</v>
      </c>
      <c r="E78" s="2694"/>
      <c r="F78" s="2802">
        <v>1</v>
      </c>
      <c r="G78" s="2694"/>
      <c r="H78" s="2697"/>
      <c r="I78" s="2697"/>
      <c r="J78" s="2697"/>
      <c r="K78" s="2697"/>
      <c r="L78" s="2711"/>
      <c r="M78" s="2692"/>
      <c r="N78" s="2795"/>
      <c r="O78" s="2796"/>
      <c r="P78" s="2786"/>
      <c r="Q78" s="2739"/>
      <c r="R78" s="2692"/>
      <c r="S78" s="2692"/>
      <c r="T78" s="2797"/>
      <c r="U78" s="2797"/>
      <c r="V78" s="2691"/>
      <c r="W78" s="2691"/>
      <c r="X78" s="2798"/>
      <c r="Y78" s="2691"/>
    </row>
    <row r="79" spans="1:25">
      <c r="A79" s="3405">
        <v>4182</v>
      </c>
      <c r="B79" s="3405"/>
      <c r="C79" s="3405" t="s">
        <v>109</v>
      </c>
      <c r="D79" s="3409" t="s">
        <v>4644</v>
      </c>
      <c r="E79" s="2708" t="s">
        <v>4645</v>
      </c>
      <c r="F79" s="2707"/>
      <c r="G79" s="2694"/>
      <c r="H79" s="2706">
        <f>+H80</f>
        <v>1</v>
      </c>
      <c r="I79" s="2697"/>
      <c r="J79" s="2697"/>
      <c r="K79" s="2697">
        <v>2</v>
      </c>
      <c r="L79" s="2711">
        <f>SUM(L80:L81)</f>
        <v>1</v>
      </c>
      <c r="M79" s="2706">
        <f>SUM(M80:M81)</f>
        <v>2</v>
      </c>
      <c r="N79" s="2712">
        <f>SUM(N80:N81)</f>
        <v>0.52</v>
      </c>
      <c r="O79" s="3427">
        <f>IF(Q79&gt;0,N79,"NA")</f>
        <v>0.52</v>
      </c>
      <c r="P79" s="2770">
        <f>SUM(P80:P81)</f>
        <v>2051015005</v>
      </c>
      <c r="Q79" s="2770">
        <f t="shared" ref="Q79:S79" si="28">SUM(Q80:Q81)</f>
        <v>8108015005</v>
      </c>
      <c r="R79" s="2754">
        <f t="shared" si="28"/>
        <v>8070885000</v>
      </c>
      <c r="S79" s="2754">
        <f t="shared" si="28"/>
        <v>2046907000</v>
      </c>
      <c r="T79" s="2714">
        <f t="shared" ref="T79:T81" si="29">+IF(Q79=0,0,R79/Q79)</f>
        <v>0.9954205801324858</v>
      </c>
      <c r="U79" s="2714">
        <f>+IF(R79=0,0,S79/R79)</f>
        <v>0.25361617716024948</v>
      </c>
      <c r="V79" s="2027"/>
      <c r="W79" s="2715"/>
      <c r="X79" s="2716"/>
      <c r="Y79" s="3405" t="s">
        <v>4568</v>
      </c>
    </row>
    <row r="80" spans="1:25" ht="121.5">
      <c r="A80" s="3405"/>
      <c r="B80" s="3405"/>
      <c r="C80" s="3405"/>
      <c r="D80" s="3409"/>
      <c r="E80" s="2755" t="s">
        <v>4646</v>
      </c>
      <c r="F80" s="2724"/>
      <c r="G80" s="2723" t="s">
        <v>4647</v>
      </c>
      <c r="H80" s="2722">
        <f>+M80</f>
        <v>1</v>
      </c>
      <c r="I80" s="2726" t="s">
        <v>4648</v>
      </c>
      <c r="J80" s="2726" t="s">
        <v>4649</v>
      </c>
      <c r="K80" s="2726">
        <v>1</v>
      </c>
      <c r="L80" s="2728">
        <v>0.93</v>
      </c>
      <c r="M80" s="2722">
        <v>1</v>
      </c>
      <c r="N80" s="2729">
        <v>0.5</v>
      </c>
      <c r="O80" s="3427"/>
      <c r="P80" s="2759">
        <v>1956716605</v>
      </c>
      <c r="Q80" s="2759">
        <v>7980716605</v>
      </c>
      <c r="R80" s="2756">
        <v>7963284500</v>
      </c>
      <c r="S80" s="2756">
        <v>1953018000</v>
      </c>
      <c r="T80" s="2732">
        <f t="shared" si="29"/>
        <v>0.99781572183767575</v>
      </c>
      <c r="U80" s="2732">
        <f>+IF(R80=0,0,S80/R80)</f>
        <v>0.24525282250056493</v>
      </c>
      <c r="V80" s="2733">
        <v>45335</v>
      </c>
      <c r="W80" s="2733">
        <v>45657</v>
      </c>
      <c r="X80" s="2804" t="s">
        <v>5754</v>
      </c>
      <c r="Y80" s="3428"/>
    </row>
    <row r="81" spans="1:25" ht="243">
      <c r="A81" s="3405"/>
      <c r="B81" s="3405"/>
      <c r="C81" s="3405"/>
      <c r="D81" s="3409"/>
      <c r="E81" s="2755" t="s">
        <v>4650</v>
      </c>
      <c r="F81" s="2805"/>
      <c r="G81" s="2723"/>
      <c r="H81" s="2722"/>
      <c r="I81" s="2726" t="s">
        <v>4651</v>
      </c>
      <c r="J81" s="2726" t="s">
        <v>4652</v>
      </c>
      <c r="K81" s="2726">
        <v>1</v>
      </c>
      <c r="L81" s="2728">
        <v>7.0000000000000007E-2</v>
      </c>
      <c r="M81" s="2722">
        <v>1</v>
      </c>
      <c r="N81" s="2729">
        <v>0.02</v>
      </c>
      <c r="O81" s="3427"/>
      <c r="P81" s="2759">
        <v>94298400</v>
      </c>
      <c r="Q81" s="2759">
        <v>127298400</v>
      </c>
      <c r="R81" s="2756">
        <v>107600500</v>
      </c>
      <c r="S81" s="2756">
        <v>93889000</v>
      </c>
      <c r="T81" s="2732">
        <f t="shared" si="29"/>
        <v>0.84526199857971507</v>
      </c>
      <c r="U81" s="2732">
        <f>+IF(R81=0,0,S81/R81)</f>
        <v>0.87257029474770098</v>
      </c>
      <c r="V81" s="2733">
        <v>45335</v>
      </c>
      <c r="W81" s="2733">
        <v>45657</v>
      </c>
      <c r="X81" s="2804" t="s">
        <v>5755</v>
      </c>
      <c r="Y81" s="3428"/>
    </row>
    <row r="82" spans="1:25" ht="38.25">
      <c r="A82" s="2699"/>
      <c r="B82" s="2699">
        <v>53020010006</v>
      </c>
      <c r="C82" s="2699" t="s">
        <v>103</v>
      </c>
      <c r="D82" s="2700" t="s">
        <v>4653</v>
      </c>
      <c r="E82" s="2694"/>
      <c r="F82" s="2736">
        <v>50</v>
      </c>
      <c r="G82" s="2694"/>
      <c r="H82" s="2697"/>
      <c r="I82" s="2697"/>
      <c r="J82" s="2697"/>
      <c r="K82" s="2709"/>
      <c r="L82" s="2711"/>
      <c r="M82" s="2692"/>
      <c r="N82" s="2712"/>
      <c r="O82" s="2796"/>
      <c r="P82" s="2786"/>
      <c r="Q82" s="2739"/>
      <c r="R82" s="2692"/>
      <c r="S82" s="2692"/>
      <c r="T82" s="2797"/>
      <c r="U82" s="2797"/>
      <c r="V82" s="2691"/>
      <c r="W82" s="2691"/>
      <c r="X82" s="2798"/>
      <c r="Y82" s="2691"/>
    </row>
    <row r="83" spans="1:25">
      <c r="A83" s="3413">
        <v>4182</v>
      </c>
      <c r="B83" s="3413"/>
      <c r="C83" s="3405" t="s">
        <v>109</v>
      </c>
      <c r="D83" s="3409" t="s">
        <v>4654</v>
      </c>
      <c r="E83" s="2694" t="s">
        <v>4655</v>
      </c>
      <c r="F83" s="2736"/>
      <c r="G83" s="2694"/>
      <c r="H83" s="2697">
        <f>SUM(H84)</f>
        <v>50</v>
      </c>
      <c r="I83" s="2697"/>
      <c r="J83" s="2697"/>
      <c r="K83" s="2806">
        <f>+K84</f>
        <v>2316513</v>
      </c>
      <c r="L83" s="2711">
        <f>L84</f>
        <v>1</v>
      </c>
      <c r="M83" s="2807">
        <f>SUM(M84)</f>
        <v>2283846</v>
      </c>
      <c r="N83" s="2808">
        <f>N84</f>
        <v>0.54</v>
      </c>
      <c r="O83" s="3407">
        <f>IF(Q83&gt;0,N83,"NA")</f>
        <v>0.54</v>
      </c>
      <c r="P83" s="2770">
        <f>SUM(P84)</f>
        <v>1529369925</v>
      </c>
      <c r="Q83" s="2770">
        <f t="shared" ref="Q83:S85" si="30">SUM(Q84)</f>
        <v>1529369925</v>
      </c>
      <c r="R83" s="2754">
        <f t="shared" si="30"/>
        <v>1520972150</v>
      </c>
      <c r="S83" s="2754">
        <f t="shared" si="30"/>
        <v>552999000</v>
      </c>
      <c r="T83" s="2714">
        <f t="shared" ref="T83:T86" si="31">+IF(Q83=0,0,R83/Q83)</f>
        <v>0.99450899689949113</v>
      </c>
      <c r="U83" s="2714">
        <f>+IF(R83=0,0,S83/R83)</f>
        <v>0.36358259419805944</v>
      </c>
      <c r="V83" s="2027"/>
      <c r="W83" s="2715"/>
      <c r="X83" s="2716"/>
      <c r="Y83" s="3405" t="s">
        <v>4568</v>
      </c>
    </row>
    <row r="84" spans="1:25" ht="324">
      <c r="A84" s="3414"/>
      <c r="B84" s="3414"/>
      <c r="C84" s="3405"/>
      <c r="D84" s="3409"/>
      <c r="E84" s="2694" t="s">
        <v>4656</v>
      </c>
      <c r="F84" s="2736"/>
      <c r="G84" s="2694" t="s">
        <v>4657</v>
      </c>
      <c r="H84" s="2807">
        <v>50</v>
      </c>
      <c r="I84" s="2697" t="s">
        <v>4658</v>
      </c>
      <c r="J84" s="2697" t="s">
        <v>4642</v>
      </c>
      <c r="K84" s="2030">
        <v>2316513</v>
      </c>
      <c r="L84" s="2711">
        <v>1</v>
      </c>
      <c r="M84" s="2809">
        <v>2283846</v>
      </c>
      <c r="N84" s="2803">
        <v>0.54</v>
      </c>
      <c r="O84" s="3407"/>
      <c r="P84" s="2770">
        <v>1529369925</v>
      </c>
      <c r="Q84" s="2770">
        <v>1529369925</v>
      </c>
      <c r="R84" s="2754">
        <v>1520972150</v>
      </c>
      <c r="S84" s="2754">
        <v>552999000</v>
      </c>
      <c r="T84" s="2714">
        <f t="shared" si="31"/>
        <v>0.99450899689949113</v>
      </c>
      <c r="U84" s="2714">
        <f>+IF(R84=0,0,S84/R84)</f>
        <v>0.36358259419805944</v>
      </c>
      <c r="V84" s="2715">
        <v>45419</v>
      </c>
      <c r="W84" s="2715">
        <v>45657</v>
      </c>
      <c r="X84" s="2716" t="s">
        <v>5756</v>
      </c>
      <c r="Y84" s="3405"/>
    </row>
    <row r="85" spans="1:25">
      <c r="A85" s="3414"/>
      <c r="B85" s="3414"/>
      <c r="C85" s="2697"/>
      <c r="D85" s="2694"/>
      <c r="E85" s="2694" t="s">
        <v>5757</v>
      </c>
      <c r="F85" s="2736">
        <v>50</v>
      </c>
      <c r="G85" s="2694"/>
      <c r="H85" s="2807"/>
      <c r="I85" s="2697"/>
      <c r="J85" s="2697"/>
      <c r="K85" s="497"/>
      <c r="L85" s="2711">
        <f>L86</f>
        <v>1</v>
      </c>
      <c r="M85" s="2809">
        <f>M86</f>
        <v>1</v>
      </c>
      <c r="N85" s="2712">
        <f>N86</f>
        <v>0.5</v>
      </c>
      <c r="O85" s="2712"/>
      <c r="P85" s="2770">
        <f>SUM(P86)</f>
        <v>0</v>
      </c>
      <c r="Q85" s="2770">
        <f t="shared" si="30"/>
        <v>14513000000</v>
      </c>
      <c r="R85" s="2754">
        <f t="shared" si="30"/>
        <v>12010462000</v>
      </c>
      <c r="S85" s="2754">
        <f t="shared" si="30"/>
        <v>0</v>
      </c>
      <c r="T85" s="2714">
        <f t="shared" si="31"/>
        <v>0.8275657686212361</v>
      </c>
      <c r="U85" s="2714">
        <f>+IF(R85=0,0,S85/R85)</f>
        <v>0</v>
      </c>
      <c r="V85" s="2027"/>
      <c r="W85" s="2715"/>
      <c r="X85" s="2716"/>
      <c r="Y85" s="2697"/>
    </row>
    <row r="86" spans="1:25" ht="121.5">
      <c r="A86" s="3415"/>
      <c r="B86" s="3415"/>
      <c r="C86" s="2726" t="s">
        <v>109</v>
      </c>
      <c r="D86" s="2723" t="s">
        <v>5758</v>
      </c>
      <c r="E86" s="2723" t="s">
        <v>5759</v>
      </c>
      <c r="F86" s="2805"/>
      <c r="G86" s="2723" t="s">
        <v>4657</v>
      </c>
      <c r="H86" s="2810">
        <v>50</v>
      </c>
      <c r="I86" s="2726" t="s">
        <v>4658</v>
      </c>
      <c r="J86" s="2726" t="s">
        <v>5760</v>
      </c>
      <c r="K86" s="2761">
        <v>1</v>
      </c>
      <c r="L86" s="2728">
        <v>1</v>
      </c>
      <c r="M86" s="2811">
        <v>1</v>
      </c>
      <c r="N86" s="2729">
        <v>0.5</v>
      </c>
      <c r="O86" s="3407">
        <f>IF(Q86&gt;0,N86,"NA")</f>
        <v>0.5</v>
      </c>
      <c r="P86" s="2759">
        <v>0</v>
      </c>
      <c r="Q86" s="2759">
        <v>14513000000</v>
      </c>
      <c r="R86" s="2756">
        <v>12010462000</v>
      </c>
      <c r="S86" s="2756">
        <v>0</v>
      </c>
      <c r="T86" s="2732">
        <f t="shared" si="31"/>
        <v>0.8275657686212361</v>
      </c>
      <c r="U86" s="2732">
        <f>+IF(R86=0,0,S86/R86)</f>
        <v>0</v>
      </c>
      <c r="V86" s="2733">
        <v>45449</v>
      </c>
      <c r="W86" s="2733">
        <v>45657</v>
      </c>
      <c r="X86" s="2747" t="s">
        <v>5761</v>
      </c>
      <c r="Y86" s="3405" t="s">
        <v>4568</v>
      </c>
    </row>
    <row r="87" spans="1:25" ht="25.5">
      <c r="A87" s="2699"/>
      <c r="B87" s="2699">
        <v>53020010007</v>
      </c>
      <c r="C87" s="2699" t="s">
        <v>103</v>
      </c>
      <c r="D87" s="2700" t="s">
        <v>4659</v>
      </c>
      <c r="E87" s="2694"/>
      <c r="F87" s="2718">
        <v>40000</v>
      </c>
      <c r="G87" s="2694"/>
      <c r="H87" s="2697"/>
      <c r="I87" s="2697"/>
      <c r="J87" s="2697"/>
      <c r="K87" s="2697"/>
      <c r="L87" s="2711"/>
      <c r="M87" s="2692"/>
      <c r="N87" s="2795"/>
      <c r="O87" s="3407"/>
      <c r="P87" s="2786"/>
      <c r="Q87" s="2739"/>
      <c r="R87" s="2692"/>
      <c r="S87" s="2692"/>
      <c r="T87" s="2797"/>
      <c r="U87" s="2797"/>
      <c r="V87" s="2691"/>
      <c r="W87" s="2691"/>
      <c r="X87" s="2798"/>
      <c r="Y87" s="3405"/>
    </row>
    <row r="88" spans="1:25">
      <c r="A88" s="3405">
        <v>4182</v>
      </c>
      <c r="B88" s="3405"/>
      <c r="C88" s="3405" t="s">
        <v>109</v>
      </c>
      <c r="D88" s="3409" t="s">
        <v>4660</v>
      </c>
      <c r="E88" s="2694" t="s">
        <v>4661</v>
      </c>
      <c r="F88" s="2812"/>
      <c r="G88" s="2694"/>
      <c r="H88" s="2709">
        <f>SUM(H89)</f>
        <v>40000</v>
      </c>
      <c r="I88" s="2697"/>
      <c r="J88" s="2697"/>
      <c r="K88" s="2697">
        <f>K89</f>
        <v>1</v>
      </c>
      <c r="L88" s="2711">
        <f>SUM(L89)</f>
        <v>1</v>
      </c>
      <c r="M88" s="2813">
        <f>SUM(M89)</f>
        <v>1</v>
      </c>
      <c r="N88" s="2712">
        <f>SUM(N89)</f>
        <v>0.25</v>
      </c>
      <c r="O88" s="3407">
        <f>IF(Q88&gt;0,N88,"NA")</f>
        <v>0.25</v>
      </c>
      <c r="P88" s="2770">
        <f>SUM(P89)</f>
        <v>2500000000</v>
      </c>
      <c r="Q88" s="2770">
        <f t="shared" ref="Q88:S88" si="32">SUM(Q89)</f>
        <v>7111000000</v>
      </c>
      <c r="R88" s="2754">
        <f t="shared" si="32"/>
        <v>363326000</v>
      </c>
      <c r="S88" s="2754">
        <f t="shared" si="32"/>
        <v>303387000</v>
      </c>
      <c r="T88" s="2714">
        <f t="shared" ref="T88:T89" si="33">+IF(Q88=0,0,R88/Q88)</f>
        <v>5.1093517086204472E-2</v>
      </c>
      <c r="U88" s="2714">
        <f>+IF(R88=0,0,S88/R88)</f>
        <v>0.83502694549798251</v>
      </c>
      <c r="V88" s="2027"/>
      <c r="W88" s="2715"/>
      <c r="X88" s="2716"/>
      <c r="Y88" s="3405" t="s">
        <v>4568</v>
      </c>
    </row>
    <row r="89" spans="1:25" ht="54">
      <c r="A89" s="3405"/>
      <c r="B89" s="3405"/>
      <c r="C89" s="3405"/>
      <c r="D89" s="3409"/>
      <c r="E89" s="2723" t="s">
        <v>4662</v>
      </c>
      <c r="F89" s="2814"/>
      <c r="G89" s="2723" t="s">
        <v>4663</v>
      </c>
      <c r="H89" s="2727">
        <v>40000</v>
      </c>
      <c r="I89" s="2726" t="s">
        <v>4664</v>
      </c>
      <c r="J89" s="2726" t="s">
        <v>4665</v>
      </c>
      <c r="K89" s="2726">
        <v>1</v>
      </c>
      <c r="L89" s="2728">
        <v>1</v>
      </c>
      <c r="M89" s="2815">
        <v>1</v>
      </c>
      <c r="N89" s="2729">
        <v>0.25</v>
      </c>
      <c r="O89" s="3407"/>
      <c r="P89" s="2759">
        <v>2500000000</v>
      </c>
      <c r="Q89" s="2759">
        <v>7111000000</v>
      </c>
      <c r="R89" s="2756">
        <v>363326000</v>
      </c>
      <c r="S89" s="2756">
        <v>303387000</v>
      </c>
      <c r="T89" s="2732">
        <f t="shared" si="33"/>
        <v>5.1093517086204472E-2</v>
      </c>
      <c r="U89" s="2732">
        <f>+IF(R89=0,0,S89/R89)</f>
        <v>0.83502694549798251</v>
      </c>
      <c r="V89" s="2733">
        <v>45419</v>
      </c>
      <c r="W89" s="2733">
        <v>45657</v>
      </c>
      <c r="X89" s="2723" t="s">
        <v>5762</v>
      </c>
      <c r="Y89" s="3405"/>
    </row>
    <row r="90" spans="1:25" ht="51">
      <c r="A90" s="2697"/>
      <c r="B90" s="1628">
        <v>53020010008</v>
      </c>
      <c r="C90" s="2699" t="s">
        <v>103</v>
      </c>
      <c r="D90" s="2031" t="s">
        <v>4666</v>
      </c>
      <c r="E90" s="2694"/>
      <c r="F90" s="2812">
        <v>1</v>
      </c>
      <c r="G90" s="2694"/>
      <c r="H90" s="2709"/>
      <c r="I90" s="2697"/>
      <c r="J90" s="2697"/>
      <c r="K90" s="2697"/>
      <c r="L90" s="2711"/>
      <c r="M90" s="2813"/>
      <c r="N90" s="2712"/>
      <c r="O90" s="2712"/>
      <c r="P90" s="2770"/>
      <c r="Q90" s="2770"/>
      <c r="R90" s="2754"/>
      <c r="S90" s="2754"/>
      <c r="T90" s="2714"/>
      <c r="U90" s="2714"/>
      <c r="V90" s="2715"/>
      <c r="W90" s="2715"/>
      <c r="X90" s="2721"/>
      <c r="Y90" s="2697"/>
    </row>
    <row r="91" spans="1:25">
      <c r="A91" s="3413">
        <v>4182</v>
      </c>
      <c r="B91" s="3413"/>
      <c r="C91" s="3413" t="s">
        <v>109</v>
      </c>
      <c r="D91" s="3416" t="s">
        <v>4667</v>
      </c>
      <c r="E91" s="2694" t="s">
        <v>4668</v>
      </c>
      <c r="F91" s="2812"/>
      <c r="G91" s="2694"/>
      <c r="H91" s="2709">
        <v>1</v>
      </c>
      <c r="I91" s="2697"/>
      <c r="J91" s="2697"/>
      <c r="K91" s="2697">
        <f>K92</f>
        <v>1</v>
      </c>
      <c r="L91" s="2711">
        <f>L92</f>
        <v>1</v>
      </c>
      <c r="M91" s="2813">
        <f>SUM(M92)</f>
        <v>1</v>
      </c>
      <c r="N91" s="2712">
        <f>SUM(N92)</f>
        <v>0.4</v>
      </c>
      <c r="O91" s="3407">
        <f>IF(Q91&gt;0,N91,"NA")</f>
        <v>0.4</v>
      </c>
      <c r="P91" s="2770">
        <f>SUM(P92)</f>
        <v>434496126</v>
      </c>
      <c r="Q91" s="2770">
        <f t="shared" ref="Q91:S91" si="34">SUM(Q92)</f>
        <v>478496126</v>
      </c>
      <c r="R91" s="2754">
        <f t="shared" si="34"/>
        <v>130924000</v>
      </c>
      <c r="S91" s="2754">
        <f t="shared" si="34"/>
        <v>108897000</v>
      </c>
      <c r="T91" s="2714">
        <f t="shared" ref="T91:T92" si="35">+IF(Q91=0,0,R91/Q91)</f>
        <v>0.27361559035903249</v>
      </c>
      <c r="U91" s="2714">
        <f>+IF(R91=0,0,S91/R91)</f>
        <v>0.83175735541230023</v>
      </c>
      <c r="V91" s="2027"/>
      <c r="W91" s="2715"/>
      <c r="X91" s="2721"/>
      <c r="Y91" s="2697"/>
    </row>
    <row r="92" spans="1:25" ht="81">
      <c r="A92" s="3415"/>
      <c r="B92" s="3415"/>
      <c r="C92" s="3415"/>
      <c r="D92" s="3417"/>
      <c r="E92" s="2029" t="s">
        <v>4669</v>
      </c>
      <c r="F92" s="2812"/>
      <c r="G92" s="2032" t="s">
        <v>4670</v>
      </c>
      <c r="H92" s="2709">
        <v>1</v>
      </c>
      <c r="I92" s="2032" t="s">
        <v>4671</v>
      </c>
      <c r="J92" s="2697" t="s">
        <v>4672</v>
      </c>
      <c r="K92" s="1290">
        <v>1</v>
      </c>
      <c r="L92" s="2711">
        <v>1</v>
      </c>
      <c r="M92" s="2813">
        <v>1</v>
      </c>
      <c r="N92" s="2712">
        <v>0.4</v>
      </c>
      <c r="O92" s="3407"/>
      <c r="P92" s="2770">
        <v>434496126</v>
      </c>
      <c r="Q92" s="2770">
        <v>478496126</v>
      </c>
      <c r="R92" s="2754">
        <v>130924000</v>
      </c>
      <c r="S92" s="2754">
        <v>108897000</v>
      </c>
      <c r="T92" s="2714">
        <f t="shared" si="35"/>
        <v>0.27361559035903249</v>
      </c>
      <c r="U92" s="2714">
        <f>+IF(R92=0,0,S92/R92)</f>
        <v>0.83175735541230023</v>
      </c>
      <c r="V92" s="2715">
        <v>45419</v>
      </c>
      <c r="W92" s="2715">
        <v>45657</v>
      </c>
      <c r="X92" s="2721" t="s">
        <v>5763</v>
      </c>
      <c r="Y92" s="2697" t="s">
        <v>4528</v>
      </c>
    </row>
    <row r="93" spans="1:25" ht="38.25">
      <c r="A93" s="2699"/>
      <c r="B93" s="2699">
        <v>53020010011</v>
      </c>
      <c r="C93" s="2699" t="s">
        <v>103</v>
      </c>
      <c r="D93" s="2785" t="s">
        <v>4673</v>
      </c>
      <c r="E93" s="2694"/>
      <c r="F93" s="2709">
        <v>1</v>
      </c>
      <c r="G93" s="2694"/>
      <c r="H93" s="2709"/>
      <c r="I93" s="2697"/>
      <c r="J93" s="2697"/>
      <c r="K93" s="2697"/>
      <c r="L93" s="2711"/>
      <c r="M93" s="2697"/>
      <c r="N93" s="2795"/>
      <c r="O93" s="2796"/>
      <c r="P93" s="2786"/>
      <c r="Q93" s="2739"/>
      <c r="R93" s="2692"/>
      <c r="S93" s="2692"/>
      <c r="T93" s="2797"/>
      <c r="U93" s="2797"/>
      <c r="V93" s="2691"/>
      <c r="W93" s="2691"/>
      <c r="X93" s="2798"/>
      <c r="Y93" s="2691"/>
    </row>
    <row r="94" spans="1:25">
      <c r="A94" s="3405">
        <v>4182</v>
      </c>
      <c r="B94" s="3405"/>
      <c r="C94" s="3405" t="s">
        <v>109</v>
      </c>
      <c r="D94" s="3409" t="s">
        <v>4674</v>
      </c>
      <c r="E94" s="2029" t="s">
        <v>4675</v>
      </c>
      <c r="F94" s="2707"/>
      <c r="G94" s="2694"/>
      <c r="H94" s="2709">
        <f>+H95</f>
        <v>1</v>
      </c>
      <c r="I94" s="2697"/>
      <c r="J94" s="2697"/>
      <c r="K94" s="2697">
        <v>1</v>
      </c>
      <c r="L94" s="2711">
        <f>SUM(L95)</f>
        <v>1</v>
      </c>
      <c r="M94" s="2813">
        <v>1</v>
      </c>
      <c r="N94" s="2712">
        <f>SUM(N95)</f>
        <v>0.49</v>
      </c>
      <c r="O94" s="3407">
        <f>IF(Q94&gt;0,N94,"NA")</f>
        <v>0.49</v>
      </c>
      <c r="P94" s="2770">
        <f>SUM(P95)</f>
        <v>1825540110</v>
      </c>
      <c r="Q94" s="2770">
        <f t="shared" ref="Q94:S94" si="36">SUM(Q95)</f>
        <v>2475540110</v>
      </c>
      <c r="R94" s="2754">
        <f t="shared" si="36"/>
        <v>1918953328</v>
      </c>
      <c r="S94" s="2754">
        <f t="shared" si="36"/>
        <v>1063671500</v>
      </c>
      <c r="T94" s="2714">
        <f t="shared" ref="T94:T95" si="37">+IF(Q94=0,0,R94/Q94)</f>
        <v>0.77516551650621413</v>
      </c>
      <c r="U94" s="2714">
        <f>+IF(R94=0,0,S94/R94)</f>
        <v>0.55429774371250362</v>
      </c>
      <c r="V94" s="2027"/>
      <c r="W94" s="2715"/>
      <c r="X94" s="2716"/>
      <c r="Y94" s="3405" t="s">
        <v>4568</v>
      </c>
    </row>
    <row r="95" spans="1:25" ht="175.5">
      <c r="A95" s="3405"/>
      <c r="B95" s="3405"/>
      <c r="C95" s="3405"/>
      <c r="D95" s="3409"/>
      <c r="E95" s="2694" t="s">
        <v>4676</v>
      </c>
      <c r="F95" s="2736"/>
      <c r="G95" s="2032" t="s">
        <v>4677</v>
      </c>
      <c r="H95" s="2709">
        <v>1</v>
      </c>
      <c r="I95" s="2032" t="s">
        <v>4678</v>
      </c>
      <c r="J95" s="2697" t="s">
        <v>4649</v>
      </c>
      <c r="K95" s="1290">
        <v>1</v>
      </c>
      <c r="L95" s="2711">
        <v>1</v>
      </c>
      <c r="M95" s="2709">
        <v>1</v>
      </c>
      <c r="N95" s="2712">
        <v>0.49</v>
      </c>
      <c r="O95" s="3407"/>
      <c r="P95" s="2770">
        <v>1825540110</v>
      </c>
      <c r="Q95" s="2770">
        <v>2475540110</v>
      </c>
      <c r="R95" s="2754">
        <v>1918953328</v>
      </c>
      <c r="S95" s="2754">
        <v>1063671500</v>
      </c>
      <c r="T95" s="2714">
        <f t="shared" si="37"/>
        <v>0.77516551650621413</v>
      </c>
      <c r="U95" s="2714">
        <f>+IF(R95=0,0,S95/R95)</f>
        <v>0.55429774371250362</v>
      </c>
      <c r="V95" s="2715">
        <v>45468</v>
      </c>
      <c r="W95" s="2715">
        <v>45657</v>
      </c>
      <c r="X95" s="2721" t="s">
        <v>5764</v>
      </c>
      <c r="Y95" s="3405"/>
    </row>
    <row r="96" spans="1:25">
      <c r="A96" s="2697"/>
      <c r="B96" s="2697">
        <v>5303</v>
      </c>
      <c r="C96" s="2697" t="s">
        <v>4679</v>
      </c>
      <c r="D96" s="2758" t="s">
        <v>4680</v>
      </c>
      <c r="E96" s="2694"/>
      <c r="F96" s="2736"/>
      <c r="G96" s="2694"/>
      <c r="H96" s="2697"/>
      <c r="I96" s="2697"/>
      <c r="J96" s="2697"/>
      <c r="K96" s="2697"/>
      <c r="L96" s="2711"/>
      <c r="M96" s="2692"/>
      <c r="N96" s="2795"/>
      <c r="O96" s="2796"/>
      <c r="P96" s="2786"/>
      <c r="Q96" s="2739"/>
      <c r="R96" s="2692"/>
      <c r="S96" s="2692"/>
      <c r="T96" s="2797"/>
      <c r="U96" s="2797"/>
      <c r="V96" s="2691"/>
      <c r="W96" s="2691"/>
      <c r="X96" s="2798"/>
      <c r="Y96" s="2691"/>
    </row>
    <row r="97" spans="1:25">
      <c r="A97" s="2697"/>
      <c r="B97" s="2697">
        <v>5303001</v>
      </c>
      <c r="C97" s="2692" t="s">
        <v>102</v>
      </c>
      <c r="D97" s="2693" t="s">
        <v>4681</v>
      </c>
      <c r="E97" s="2694"/>
      <c r="F97" s="2697"/>
      <c r="G97" s="2694"/>
      <c r="H97" s="2697"/>
      <c r="I97" s="2697"/>
      <c r="J97" s="2697"/>
      <c r="K97" s="2697"/>
      <c r="L97" s="2711"/>
      <c r="M97" s="2692"/>
      <c r="N97" s="2795"/>
      <c r="O97" s="2796"/>
      <c r="P97" s="2786"/>
      <c r="Q97" s="2739"/>
      <c r="R97" s="2692"/>
      <c r="S97" s="2692"/>
      <c r="T97" s="2797"/>
      <c r="U97" s="2797"/>
      <c r="V97" s="2691"/>
      <c r="W97" s="2691"/>
      <c r="X97" s="2798"/>
      <c r="Y97" s="2691"/>
    </row>
    <row r="98" spans="1:25" ht="40.5">
      <c r="A98" s="3413">
        <v>4182</v>
      </c>
      <c r="B98" s="2697">
        <v>53030030004</v>
      </c>
      <c r="C98" s="2697" t="s">
        <v>103</v>
      </c>
      <c r="D98" s="2694" t="s">
        <v>4682</v>
      </c>
      <c r="E98" s="2694"/>
      <c r="F98" s="2697">
        <v>2</v>
      </c>
      <c r="G98" s="2694"/>
      <c r="H98" s="2697"/>
      <c r="I98" s="2697"/>
      <c r="J98" s="2697"/>
      <c r="K98" s="2711"/>
      <c r="L98" s="2711"/>
      <c r="M98" s="2816"/>
      <c r="N98" s="2712"/>
      <c r="O98" s="2712"/>
      <c r="P98" s="2770"/>
      <c r="Q98" s="2770"/>
      <c r="R98" s="2697"/>
      <c r="S98" s="2697"/>
      <c r="T98" s="2714"/>
      <c r="U98" s="2714"/>
      <c r="V98" s="2691"/>
      <c r="W98" s="2691"/>
      <c r="X98" s="2721"/>
      <c r="Y98" s="2697"/>
    </row>
    <row r="99" spans="1:25">
      <c r="A99" s="3414"/>
      <c r="B99" s="3413"/>
      <c r="C99" s="3413" t="s">
        <v>109</v>
      </c>
      <c r="D99" s="3413" t="s">
        <v>4683</v>
      </c>
      <c r="E99" s="2694" t="s">
        <v>4684</v>
      </c>
      <c r="F99" s="2697"/>
      <c r="G99" s="2694"/>
      <c r="H99" s="2709">
        <f>+H100</f>
        <v>2</v>
      </c>
      <c r="I99" s="2697"/>
      <c r="J99" s="2697"/>
      <c r="K99" s="2697">
        <f>+K100</f>
        <v>2</v>
      </c>
      <c r="L99" s="2711">
        <f>+L100</f>
        <v>1</v>
      </c>
      <c r="M99" s="2709">
        <f>SUM(M100:M100)</f>
        <v>0</v>
      </c>
      <c r="N99" s="2712">
        <f>SUM(N100:N100)</f>
        <v>0</v>
      </c>
      <c r="O99" s="2712">
        <f>SUM(O100:O100)</f>
        <v>0</v>
      </c>
      <c r="P99" s="2754">
        <f>SUM(P100:P101)</f>
        <v>211000000</v>
      </c>
      <c r="Q99" s="2754">
        <f>SUM(Q100:Q101)</f>
        <v>1750875890</v>
      </c>
      <c r="R99" s="2754">
        <f>SUM(R100:R100)</f>
        <v>210948187</v>
      </c>
      <c r="S99" s="2754">
        <f>SUM(S100:S101)</f>
        <v>0</v>
      </c>
      <c r="T99" s="2714">
        <f t="shared" ref="T99:T100" si="38">+IF(Q99=0,0,R99/Q99)</f>
        <v>0.12048151910984393</v>
      </c>
      <c r="U99" s="2714">
        <f>+IF(R99=0,0,S99/R99)</f>
        <v>0</v>
      </c>
      <c r="V99" s="2027"/>
      <c r="W99" s="2715"/>
      <c r="X99" s="2721"/>
      <c r="Y99" s="2697"/>
    </row>
    <row r="100" spans="1:25" ht="175.5">
      <c r="A100" s="3415"/>
      <c r="B100" s="3415"/>
      <c r="C100" s="3415"/>
      <c r="D100" s="3415"/>
      <c r="E100" s="2762" t="s">
        <v>4685</v>
      </c>
      <c r="F100" s="2726"/>
      <c r="G100" s="2723" t="s">
        <v>4686</v>
      </c>
      <c r="H100" s="2727">
        <v>2</v>
      </c>
      <c r="I100" s="2726" t="s">
        <v>4687</v>
      </c>
      <c r="J100" s="2726" t="s">
        <v>4688</v>
      </c>
      <c r="K100" s="2726">
        <v>2</v>
      </c>
      <c r="L100" s="2728">
        <v>1</v>
      </c>
      <c r="M100" s="2727">
        <v>0</v>
      </c>
      <c r="N100" s="2729">
        <v>0</v>
      </c>
      <c r="O100" s="2763">
        <f>IF(Q99&gt;0,N99,"NA")</f>
        <v>0</v>
      </c>
      <c r="P100" s="2759">
        <v>211000000</v>
      </c>
      <c r="Q100" s="2759">
        <v>1750875890</v>
      </c>
      <c r="R100" s="2759">
        <v>210948187</v>
      </c>
      <c r="S100" s="2759">
        <v>0</v>
      </c>
      <c r="T100" s="2732">
        <f t="shared" si="38"/>
        <v>0.12048151910984393</v>
      </c>
      <c r="U100" s="2732">
        <f>+IF(R100=0,0,S100/R100)</f>
        <v>0</v>
      </c>
      <c r="V100" s="2733">
        <v>45462</v>
      </c>
      <c r="W100" s="2733">
        <v>45657</v>
      </c>
      <c r="X100" s="2804" t="s">
        <v>5765</v>
      </c>
      <c r="Y100" s="2726" t="s">
        <v>4528</v>
      </c>
    </row>
    <row r="101" spans="1:25" ht="38.25">
      <c r="A101" s="3405">
        <v>4182</v>
      </c>
      <c r="B101" s="2699">
        <v>53030030006</v>
      </c>
      <c r="C101" s="2699" t="s">
        <v>103</v>
      </c>
      <c r="D101" s="2700" t="s">
        <v>4689</v>
      </c>
      <c r="E101" s="2694"/>
      <c r="F101" s="2736">
        <v>1</v>
      </c>
      <c r="G101" s="2694"/>
      <c r="H101" s="2697"/>
      <c r="I101" s="2697"/>
      <c r="J101" s="2697"/>
      <c r="K101" s="2697"/>
      <c r="L101" s="2711"/>
      <c r="M101" s="2692"/>
      <c r="N101" s="2795"/>
      <c r="O101" s="2796"/>
      <c r="P101" s="2786"/>
      <c r="Q101" s="2739"/>
      <c r="R101" s="2692"/>
      <c r="S101" s="2692"/>
      <c r="T101" s="2797"/>
      <c r="U101" s="2797"/>
      <c r="V101" s="2691"/>
      <c r="W101" s="2691"/>
      <c r="X101" s="2798"/>
      <c r="Y101" s="2691"/>
    </row>
    <row r="102" spans="1:25">
      <c r="A102" s="3405"/>
      <c r="B102" s="3405"/>
      <c r="C102" s="3405" t="s">
        <v>109</v>
      </c>
      <c r="D102" s="3409" t="s">
        <v>4690</v>
      </c>
      <c r="E102" s="2694" t="s">
        <v>4691</v>
      </c>
      <c r="F102" s="2736"/>
      <c r="G102" s="2694"/>
      <c r="H102" s="2697">
        <f>H103</f>
        <v>1</v>
      </c>
      <c r="I102" s="2697"/>
      <c r="J102" s="2697"/>
      <c r="K102" s="2697">
        <f>SUM(K103:K103)</f>
        <v>1</v>
      </c>
      <c r="L102" s="2711">
        <f>SUM(L103:L103)</f>
        <v>0.1</v>
      </c>
      <c r="M102" s="2697">
        <f>SUM(M103:M103)</f>
        <v>0</v>
      </c>
      <c r="N102" s="2712">
        <f>SUM(N103:N103)</f>
        <v>0.45</v>
      </c>
      <c r="O102" s="3407">
        <f>IF(Q102&gt;0,N102,"NA")</f>
        <v>0.45</v>
      </c>
      <c r="P102" s="2770">
        <f>SUM(P103:P103)</f>
        <v>1968480941</v>
      </c>
      <c r="Q102" s="2770">
        <f>SUM(Q103:Q103)</f>
        <v>6463383480</v>
      </c>
      <c r="R102" s="2754">
        <f>SUM(R103:R103)</f>
        <v>280355000</v>
      </c>
      <c r="S102" s="2754">
        <f>SUM(S103:S103)</f>
        <v>242788000</v>
      </c>
      <c r="T102" s="2714">
        <f t="shared" ref="T102:T103" si="39">+IF(Q102=0,0,R102/Q102)</f>
        <v>4.3375888320338375E-2</v>
      </c>
      <c r="U102" s="2714">
        <f>+IF(R102=0,0,S102/R102)</f>
        <v>0.86600203313655899</v>
      </c>
      <c r="V102" s="2027"/>
      <c r="W102" s="2715"/>
      <c r="X102" s="2716"/>
      <c r="Y102" s="3413" t="s">
        <v>4568</v>
      </c>
    </row>
    <row r="103" spans="1:25" ht="135">
      <c r="A103" s="3405"/>
      <c r="B103" s="3405"/>
      <c r="C103" s="3405"/>
      <c r="D103" s="3409"/>
      <c r="E103" s="2762" t="s">
        <v>4692</v>
      </c>
      <c r="F103" s="2805"/>
      <c r="G103" s="2723" t="s">
        <v>4686</v>
      </c>
      <c r="H103" s="2817">
        <v>1</v>
      </c>
      <c r="I103" s="2723" t="s">
        <v>4693</v>
      </c>
      <c r="J103" s="2726" t="s">
        <v>4688</v>
      </c>
      <c r="K103" s="2726">
        <v>1</v>
      </c>
      <c r="L103" s="2728">
        <v>0.1</v>
      </c>
      <c r="M103" s="2726">
        <v>0</v>
      </c>
      <c r="N103" s="2729">
        <v>0.45</v>
      </c>
      <c r="O103" s="3407"/>
      <c r="P103" s="2759">
        <v>1968480941</v>
      </c>
      <c r="Q103" s="2759">
        <v>6463383480</v>
      </c>
      <c r="R103" s="2756">
        <v>280355000</v>
      </c>
      <c r="S103" s="2756">
        <v>242788000</v>
      </c>
      <c r="T103" s="2732">
        <f t="shared" si="39"/>
        <v>4.3375888320338375E-2</v>
      </c>
      <c r="U103" s="2732">
        <f>+IF(R103=0,0,S103/R103)</f>
        <v>0.86600203313655899</v>
      </c>
      <c r="V103" s="2733">
        <v>45462</v>
      </c>
      <c r="W103" s="2733">
        <v>45657</v>
      </c>
      <c r="X103" s="2747" t="s">
        <v>5766</v>
      </c>
      <c r="Y103" s="3415"/>
    </row>
    <row r="104" spans="1:25">
      <c r="A104" s="2697"/>
      <c r="B104" s="2748">
        <v>54</v>
      </c>
      <c r="C104" s="2748" t="s">
        <v>100</v>
      </c>
      <c r="D104" s="2749" t="s">
        <v>134</v>
      </c>
      <c r="E104" s="2694"/>
      <c r="F104" s="2736"/>
      <c r="G104" s="2694"/>
      <c r="H104" s="2697"/>
      <c r="I104" s="2697"/>
      <c r="J104" s="2697"/>
      <c r="K104" s="2697"/>
      <c r="L104" s="2711"/>
      <c r="M104" s="2692"/>
      <c r="N104" s="2795"/>
      <c r="O104" s="2796"/>
      <c r="P104" s="2786"/>
      <c r="Q104" s="2739"/>
      <c r="R104" s="2692"/>
      <c r="S104" s="2692"/>
      <c r="T104" s="2797"/>
      <c r="U104" s="2797"/>
      <c r="V104" s="2691"/>
      <c r="W104" s="2691"/>
      <c r="X104" s="2798"/>
      <c r="Y104" s="2697"/>
    </row>
    <row r="105" spans="1:25">
      <c r="A105" s="2697"/>
      <c r="B105" s="2697">
        <v>5401</v>
      </c>
      <c r="C105" s="2692" t="s">
        <v>101</v>
      </c>
      <c r="D105" s="2693" t="s">
        <v>136</v>
      </c>
      <c r="E105" s="2694"/>
      <c r="F105" s="2736"/>
      <c r="G105" s="2694"/>
      <c r="H105" s="2697"/>
      <c r="I105" s="2697"/>
      <c r="J105" s="2697"/>
      <c r="K105" s="2697"/>
      <c r="L105" s="2711"/>
      <c r="M105" s="2692"/>
      <c r="N105" s="2795"/>
      <c r="O105" s="2796"/>
      <c r="P105" s="2786"/>
      <c r="Q105" s="2739"/>
      <c r="R105" s="2692"/>
      <c r="S105" s="2692"/>
      <c r="T105" s="2797"/>
      <c r="U105" s="2797"/>
      <c r="V105" s="2691"/>
      <c r="W105" s="2691"/>
      <c r="X105" s="2798"/>
      <c r="Y105" s="2691"/>
    </row>
    <row r="106" spans="1:25">
      <c r="A106" s="3405">
        <v>4182</v>
      </c>
      <c r="B106" s="2697">
        <v>5402001</v>
      </c>
      <c r="C106" s="2692" t="s">
        <v>102</v>
      </c>
      <c r="D106" s="2693" t="s">
        <v>105</v>
      </c>
      <c r="E106" s="2694"/>
      <c r="F106" s="2736"/>
      <c r="G106" s="2694"/>
      <c r="H106" s="2697"/>
      <c r="I106" s="2697"/>
      <c r="J106" s="2697"/>
      <c r="K106" s="2697"/>
      <c r="L106" s="2711"/>
      <c r="M106" s="2692"/>
      <c r="N106" s="2795"/>
      <c r="O106" s="2796"/>
      <c r="P106" s="2786"/>
      <c r="Q106" s="2739"/>
      <c r="R106" s="2692"/>
      <c r="S106" s="2692"/>
      <c r="T106" s="2797"/>
      <c r="U106" s="2797"/>
      <c r="V106" s="2691"/>
      <c r="W106" s="2691"/>
      <c r="X106" s="2798"/>
      <c r="Y106" s="2691"/>
    </row>
    <row r="107" spans="1:25" ht="25.5">
      <c r="A107" s="3405"/>
      <c r="B107" s="2699">
        <v>54020010027</v>
      </c>
      <c r="C107" s="2699" t="s">
        <v>103</v>
      </c>
      <c r="D107" s="2700" t="s">
        <v>4694</v>
      </c>
      <c r="E107" s="2694"/>
      <c r="F107" s="2736">
        <v>1</v>
      </c>
      <c r="G107" s="2694"/>
      <c r="H107" s="2697"/>
      <c r="I107" s="2697"/>
      <c r="J107" s="2697"/>
      <c r="K107" s="2697"/>
      <c r="L107" s="2711"/>
      <c r="M107" s="2692"/>
      <c r="N107" s="2795"/>
      <c r="O107" s="2796"/>
      <c r="P107" s="2786"/>
      <c r="Q107" s="2739"/>
      <c r="R107" s="2692"/>
      <c r="S107" s="2692"/>
      <c r="T107" s="2797"/>
      <c r="U107" s="2797"/>
      <c r="V107" s="2691"/>
      <c r="W107" s="2691"/>
      <c r="X107" s="2798"/>
      <c r="Y107" s="2691"/>
    </row>
    <row r="108" spans="1:25">
      <c r="A108" s="3405"/>
      <c r="B108" s="3405"/>
      <c r="C108" s="3405" t="s">
        <v>109</v>
      </c>
      <c r="D108" s="2708"/>
      <c r="E108" s="2694" t="s">
        <v>4695</v>
      </c>
      <c r="F108" s="2736"/>
      <c r="G108" s="2694"/>
      <c r="H108" s="2697">
        <f>+H109+H110</f>
        <v>1</v>
      </c>
      <c r="I108" s="2697"/>
      <c r="J108" s="2697"/>
      <c r="K108" s="2697">
        <f>SUM(K109:K110)</f>
        <v>3</v>
      </c>
      <c r="L108" s="2711">
        <f>SUM(L109:L110)</f>
        <v>1</v>
      </c>
      <c r="M108" s="2697">
        <f>SUM(M109:M110)</f>
        <v>3</v>
      </c>
      <c r="N108" s="2712">
        <f>SUM(N109:N110)</f>
        <v>0.25</v>
      </c>
      <c r="O108" s="3407">
        <f>IF(Q108&gt;0,N108,"NA")</f>
        <v>0.25</v>
      </c>
      <c r="P108" s="2770">
        <f>SUM(P109:P110)</f>
        <v>399654833</v>
      </c>
      <c r="Q108" s="2770">
        <f t="shared" ref="Q108:S108" si="40">SUM(Q109:Q110)</f>
        <v>440972639</v>
      </c>
      <c r="R108" s="2754">
        <f>SUM(R109:R110)</f>
        <v>332260000</v>
      </c>
      <c r="S108" s="2754">
        <f t="shared" si="40"/>
        <v>282490000</v>
      </c>
      <c r="T108" s="2714">
        <f t="shared" ref="T108:T110" si="41">+IF(Q108=0,0,R108/Q108)</f>
        <v>0.75347078393224298</v>
      </c>
      <c r="U108" s="2714">
        <f>+IF(R108=0,0,S108/R108)</f>
        <v>0.85020766869319209</v>
      </c>
      <c r="V108" s="2027"/>
      <c r="W108" s="2715"/>
      <c r="X108" s="2716"/>
      <c r="Y108" s="3405" t="s">
        <v>4568</v>
      </c>
    </row>
    <row r="109" spans="1:25" ht="67.5">
      <c r="A109" s="3405"/>
      <c r="B109" s="3405"/>
      <c r="C109" s="3405"/>
      <c r="D109" s="3409" t="s">
        <v>4696</v>
      </c>
      <c r="E109" s="2694" t="s">
        <v>4697</v>
      </c>
      <c r="F109" s="2707"/>
      <c r="G109" s="2694" t="s">
        <v>4694</v>
      </c>
      <c r="H109" s="2697">
        <v>1</v>
      </c>
      <c r="I109" s="2694" t="s">
        <v>4698</v>
      </c>
      <c r="J109" s="2697" t="s">
        <v>2956</v>
      </c>
      <c r="K109" s="2697">
        <v>1</v>
      </c>
      <c r="L109" s="2711">
        <v>0.6</v>
      </c>
      <c r="M109" s="2812">
        <v>1</v>
      </c>
      <c r="N109" s="2714" t="s">
        <v>5767</v>
      </c>
      <c r="O109" s="3407"/>
      <c r="P109" s="2770">
        <v>261456857</v>
      </c>
      <c r="Q109" s="2770">
        <v>257774663</v>
      </c>
      <c r="R109" s="2754">
        <v>178975000</v>
      </c>
      <c r="S109" s="2754">
        <v>151444000</v>
      </c>
      <c r="T109" s="2714">
        <f t="shared" si="41"/>
        <v>0.69430795842025794</v>
      </c>
      <c r="U109" s="2714">
        <f>+IF(R109=0,0,S109/R109)</f>
        <v>0.84617404665456064</v>
      </c>
      <c r="V109" s="2715">
        <v>45328</v>
      </c>
      <c r="W109" s="2715">
        <v>45657</v>
      </c>
      <c r="X109" s="2716" t="s">
        <v>5768</v>
      </c>
      <c r="Y109" s="3405"/>
    </row>
    <row r="110" spans="1:25" ht="67.5">
      <c r="A110" s="3406"/>
      <c r="B110" s="3406"/>
      <c r="C110" s="3406"/>
      <c r="D110" s="3410"/>
      <c r="E110" s="2765" t="s">
        <v>4699</v>
      </c>
      <c r="F110" s="2766"/>
      <c r="G110" s="2765"/>
      <c r="H110" s="2764"/>
      <c r="I110" s="2033" t="s">
        <v>4700</v>
      </c>
      <c r="J110" s="2764" t="s">
        <v>4701</v>
      </c>
      <c r="K110" s="2764">
        <v>2</v>
      </c>
      <c r="L110" s="2767">
        <v>0.4</v>
      </c>
      <c r="M110" s="2768">
        <v>2</v>
      </c>
      <c r="N110" s="2769">
        <v>0.25</v>
      </c>
      <c r="O110" s="3408"/>
      <c r="P110" s="2770">
        <v>138197976</v>
      </c>
      <c r="Q110" s="2034">
        <v>183197976</v>
      </c>
      <c r="R110" s="2771">
        <v>153285000</v>
      </c>
      <c r="S110" s="2771">
        <v>131046000</v>
      </c>
      <c r="T110" s="2772">
        <f t="shared" si="41"/>
        <v>0.83671775937087867</v>
      </c>
      <c r="U110" s="2772">
        <f>+IF(R110=0,0,S110/R110)</f>
        <v>0.85491731089147671</v>
      </c>
      <c r="V110" s="2715">
        <v>45328</v>
      </c>
      <c r="W110" s="2715">
        <v>45657</v>
      </c>
      <c r="X110" s="2773" t="s">
        <v>5769</v>
      </c>
      <c r="Y110" s="3406"/>
    </row>
    <row r="111" spans="1:25">
      <c r="A111" s="837"/>
      <c r="B111" s="838"/>
      <c r="C111" s="837"/>
      <c r="D111" s="839"/>
      <c r="E111" s="839"/>
      <c r="F111" s="839"/>
      <c r="G111" s="839"/>
      <c r="H111" s="840"/>
      <c r="I111" s="840"/>
      <c r="J111" s="840"/>
      <c r="K111" s="841"/>
      <c r="L111" s="837"/>
      <c r="M111" s="841"/>
      <c r="N111" s="842"/>
      <c r="O111" s="843"/>
      <c r="P111" s="844"/>
      <c r="Q111" s="844"/>
      <c r="R111" s="840"/>
      <c r="S111" s="840"/>
      <c r="T111" s="2035"/>
      <c r="U111" s="2035"/>
      <c r="V111" s="841"/>
      <c r="W111" s="839"/>
      <c r="X111" s="845"/>
      <c r="Y111" s="845"/>
    </row>
    <row r="112" spans="1:25">
      <c r="A112" s="846"/>
      <c r="B112" s="847" t="s">
        <v>36</v>
      </c>
      <c r="C112" s="847">
        <f>COUNTIF(C7:C110,"Pr")</f>
        <v>27</v>
      </c>
      <c r="D112" s="848"/>
      <c r="E112" s="3411" t="s">
        <v>112</v>
      </c>
      <c r="F112" s="3411"/>
      <c r="G112" s="847">
        <f>COUNTIF(O11:O110,"na")</f>
        <v>1</v>
      </c>
      <c r="H112" s="847"/>
      <c r="I112" s="849"/>
      <c r="J112" s="847"/>
      <c r="K112" s="3412"/>
      <c r="L112" s="3412"/>
      <c r="M112" s="47"/>
      <c r="N112" s="47" t="s">
        <v>1074</v>
      </c>
      <c r="O112" s="798">
        <f>AVERAGE(O11:O110)</f>
        <v>0.27641111111111116</v>
      </c>
      <c r="P112" s="850">
        <f>P11+P17+P21+P30+P37+P44+P47+P50+P53+P55+P57+P62+P68+P70+P73+P76+P79+P83+P88+P91+P94+P99+P102+P108+P14</f>
        <v>335710414796</v>
      </c>
      <c r="Q112" s="850">
        <f>Q11+Q17+Q21+Q30+Q37+Q44+Q47+Q50+Q53+Q55+Q57+Q62+Q68+Q70+Q73+Q76+Q79+Q83+Q88+Q91+Q94+Q99+Q102+Q108+Q85+Q24+Q14</f>
        <v>502384385646</v>
      </c>
      <c r="R112" s="850">
        <f>R11+R17+R21+R30+R37+R44+R47+R50+R53+R55+R57+R62+R68+R70+R73+R76+R79+R83+R88+R91+R94+R99+R102+R108+R85+R24+R14</f>
        <v>257836185853</v>
      </c>
      <c r="S112" s="850">
        <f>S11+S17+S21+S30+S37+S44+S47+S50+S53+S55+S57+S62+S68+S70+S73+S76+S79+S83+S88+S91+S94+S99+S102+S108+S14</f>
        <v>85356413118</v>
      </c>
      <c r="T112" s="851"/>
      <c r="U112" s="851"/>
      <c r="V112" s="852"/>
      <c r="W112" s="844"/>
      <c r="X112" s="853"/>
      <c r="Y112" s="853"/>
    </row>
    <row r="113" spans="1:25">
      <c r="A113" s="846"/>
      <c r="B113" s="852"/>
      <c r="C113" s="852"/>
      <c r="D113" s="848"/>
      <c r="E113" s="45"/>
      <c r="F113" s="47"/>
      <c r="G113" s="45"/>
      <c r="H113" s="47"/>
      <c r="I113" s="854"/>
      <c r="J113" s="47"/>
      <c r="K113" s="47"/>
      <c r="L113" s="47"/>
      <c r="M113" s="855"/>
      <c r="N113" s="47" t="s">
        <v>3269</v>
      </c>
      <c r="O113" s="47">
        <f>COUNTIF(O11:O110,"=0%")</f>
        <v>11</v>
      </c>
      <c r="P113" s="850">
        <v>335710414796</v>
      </c>
      <c r="Q113" s="850">
        <v>502384385646</v>
      </c>
      <c r="R113" s="850">
        <v>257836185853</v>
      </c>
      <c r="S113" s="850">
        <v>85356413118</v>
      </c>
      <c r="T113" s="851"/>
      <c r="U113" s="851"/>
      <c r="V113" s="852"/>
      <c r="W113" s="844"/>
      <c r="X113" s="853"/>
      <c r="Y113" s="853"/>
    </row>
    <row r="114" spans="1:25">
      <c r="A114" s="2774"/>
      <c r="B114" s="2775"/>
      <c r="C114" s="2774"/>
      <c r="D114" s="2776"/>
      <c r="E114" s="2776"/>
      <c r="F114" s="2776"/>
      <c r="G114" s="2776"/>
      <c r="H114" s="2777"/>
      <c r="I114" s="2777"/>
      <c r="J114" s="2777"/>
      <c r="K114" s="2778"/>
      <c r="L114" s="2774"/>
      <c r="M114" s="2778"/>
      <c r="N114" s="2779"/>
      <c r="O114" s="2780"/>
      <c r="P114" s="2781"/>
      <c r="Q114" s="2781"/>
      <c r="R114" s="2782"/>
      <c r="S114" s="2782"/>
      <c r="T114" s="2783"/>
      <c r="U114" s="2783"/>
      <c r="V114" s="2778"/>
      <c r="W114" s="2776"/>
      <c r="X114" s="2784"/>
      <c r="Y114" s="2784"/>
    </row>
  </sheetData>
  <autoFilter ref="A5:Y6" xr:uid="{00000000-0009-0000-0000-00001B000000}"/>
  <mergeCells count="175">
    <mergeCell ref="A88:A89"/>
    <mergeCell ref="B88:B89"/>
    <mergeCell ref="C88:C89"/>
    <mergeCell ref="D88:D89"/>
    <mergeCell ref="D73:D75"/>
    <mergeCell ref="C76:C77"/>
    <mergeCell ref="D76:D77"/>
    <mergeCell ref="A79:A81"/>
    <mergeCell ref="B79:B81"/>
    <mergeCell ref="C79:C81"/>
    <mergeCell ref="D79:D81"/>
    <mergeCell ref="O86:O87"/>
    <mergeCell ref="Y86:Y87"/>
    <mergeCell ref="A83:A86"/>
    <mergeCell ref="B83:B86"/>
    <mergeCell ref="C83:C84"/>
    <mergeCell ref="D83:D84"/>
    <mergeCell ref="E5:E6"/>
    <mergeCell ref="F5:F6"/>
    <mergeCell ref="G5:G6"/>
    <mergeCell ref="H5:H6"/>
    <mergeCell ref="Q5:Q6"/>
    <mergeCell ref="R5:R6"/>
    <mergeCell ref="M5:M6"/>
    <mergeCell ref="O5:O6"/>
    <mergeCell ref="W5:W6"/>
    <mergeCell ref="Y11:Y13"/>
    <mergeCell ref="A1:X1"/>
    <mergeCell ref="K5:K6"/>
    <mergeCell ref="L5:L6"/>
    <mergeCell ref="N5:N6"/>
    <mergeCell ref="S5:S6"/>
    <mergeCell ref="T5:T6"/>
    <mergeCell ref="U5:U6"/>
    <mergeCell ref="A4:Y4"/>
    <mergeCell ref="A2:Y2"/>
    <mergeCell ref="A3:B3"/>
    <mergeCell ref="C3:R3"/>
    <mergeCell ref="S3:U3"/>
    <mergeCell ref="Y5:Y6"/>
    <mergeCell ref="I5:I6"/>
    <mergeCell ref="X5:X6"/>
    <mergeCell ref="V5:V6"/>
    <mergeCell ref="V3:W3"/>
    <mergeCell ref="J5:J6"/>
    <mergeCell ref="P5:P6"/>
    <mergeCell ref="A5:A6"/>
    <mergeCell ref="B5:B6"/>
    <mergeCell ref="C5:C6"/>
    <mergeCell ref="D5:D6"/>
    <mergeCell ref="A73:A77"/>
    <mergeCell ref="B73:B77"/>
    <mergeCell ref="C73:C75"/>
    <mergeCell ref="A47:A48"/>
    <mergeCell ref="B47:B48"/>
    <mergeCell ref="A44:A45"/>
    <mergeCell ref="B44:B45"/>
    <mergeCell ref="C44:C45"/>
    <mergeCell ref="D44:D45"/>
    <mergeCell ref="A53:A54"/>
    <mergeCell ref="B53:B54"/>
    <mergeCell ref="C53:C54"/>
    <mergeCell ref="D53:D54"/>
    <mergeCell ref="A55:A56"/>
    <mergeCell ref="B55:B56"/>
    <mergeCell ref="C55:C56"/>
    <mergeCell ref="D55:D56"/>
    <mergeCell ref="A57:A58"/>
    <mergeCell ref="B57:B58"/>
    <mergeCell ref="C57:C58"/>
    <mergeCell ref="D57:D58"/>
    <mergeCell ref="A62:A63"/>
    <mergeCell ref="B62:B63"/>
    <mergeCell ref="C62:C63"/>
    <mergeCell ref="Y17:Y19"/>
    <mergeCell ref="Y21:Y23"/>
    <mergeCell ref="A68:A69"/>
    <mergeCell ref="B68:B69"/>
    <mergeCell ref="C68:C69"/>
    <mergeCell ref="D68:D69"/>
    <mergeCell ref="O68:O69"/>
    <mergeCell ref="Y68:Y69"/>
    <mergeCell ref="A70:A71"/>
    <mergeCell ref="B70:B71"/>
    <mergeCell ref="C70:C71"/>
    <mergeCell ref="D70:D71"/>
    <mergeCell ref="O53:O54"/>
    <mergeCell ref="O55:O56"/>
    <mergeCell ref="Y55:Y56"/>
    <mergeCell ref="D62:D63"/>
    <mergeCell ref="O57:O58"/>
    <mergeCell ref="Y57:Y58"/>
    <mergeCell ref="O62:O63"/>
    <mergeCell ref="Y52:Y54"/>
    <mergeCell ref="Y30:Y32"/>
    <mergeCell ref="O37:O39"/>
    <mergeCell ref="Y37:Y39"/>
    <mergeCell ref="O44:O45"/>
    <mergeCell ref="Y44:Y45"/>
    <mergeCell ref="O88:O89"/>
    <mergeCell ref="Y88:Y89"/>
    <mergeCell ref="Y94:Y95"/>
    <mergeCell ref="O79:O81"/>
    <mergeCell ref="Y79:Y81"/>
    <mergeCell ref="O83:O84"/>
    <mergeCell ref="Y83:Y84"/>
    <mergeCell ref="O70:O71"/>
    <mergeCell ref="Y70:Y71"/>
    <mergeCell ref="O73:O75"/>
    <mergeCell ref="Y73:Y75"/>
    <mergeCell ref="O76:O77"/>
    <mergeCell ref="Y76:Y77"/>
    <mergeCell ref="A30:A32"/>
    <mergeCell ref="B30:B32"/>
    <mergeCell ref="C30:C32"/>
    <mergeCell ref="D30:D32"/>
    <mergeCell ref="O30:O32"/>
    <mergeCell ref="A37:A38"/>
    <mergeCell ref="B37:B38"/>
    <mergeCell ref="C37:C39"/>
    <mergeCell ref="D37:D39"/>
    <mergeCell ref="A11:A15"/>
    <mergeCell ref="B11:B15"/>
    <mergeCell ref="O14:O15"/>
    <mergeCell ref="A17:A19"/>
    <mergeCell ref="B17:B19"/>
    <mergeCell ref="C17:C19"/>
    <mergeCell ref="D17:D19"/>
    <mergeCell ref="O17:O19"/>
    <mergeCell ref="A21:A25"/>
    <mergeCell ref="B21:B25"/>
    <mergeCell ref="C21:C23"/>
    <mergeCell ref="D21:D23"/>
    <mergeCell ref="O21:O23"/>
    <mergeCell ref="C11:C13"/>
    <mergeCell ref="D11:D13"/>
    <mergeCell ref="O11:O13"/>
    <mergeCell ref="C47:C48"/>
    <mergeCell ref="D47:D48"/>
    <mergeCell ref="O47:O48"/>
    <mergeCell ref="Y47:Y48"/>
    <mergeCell ref="Y49:Y51"/>
    <mergeCell ref="A50:A51"/>
    <mergeCell ref="B50:B51"/>
    <mergeCell ref="C50:C51"/>
    <mergeCell ref="D50:D51"/>
    <mergeCell ref="O50:O51"/>
    <mergeCell ref="A91:A92"/>
    <mergeCell ref="B91:B92"/>
    <mergeCell ref="C91:C92"/>
    <mergeCell ref="D91:D92"/>
    <mergeCell ref="O91:O92"/>
    <mergeCell ref="A94:A95"/>
    <mergeCell ref="B94:B95"/>
    <mergeCell ref="C94:C95"/>
    <mergeCell ref="D94:D95"/>
    <mergeCell ref="O94:O95"/>
    <mergeCell ref="A106:A110"/>
    <mergeCell ref="B108:B110"/>
    <mergeCell ref="C108:C110"/>
    <mergeCell ref="O108:O110"/>
    <mergeCell ref="Y108:Y110"/>
    <mergeCell ref="D109:D110"/>
    <mergeCell ref="E112:F112"/>
    <mergeCell ref="K112:L112"/>
    <mergeCell ref="A98:A100"/>
    <mergeCell ref="B99:B100"/>
    <mergeCell ref="C99:C100"/>
    <mergeCell ref="D99:D100"/>
    <mergeCell ref="A101:A103"/>
    <mergeCell ref="B102:B103"/>
    <mergeCell ref="C102:C103"/>
    <mergeCell ref="D102:D103"/>
    <mergeCell ref="O102:O103"/>
    <mergeCell ref="Y102:Y103"/>
  </mergeCells>
  <dataValidations disablePrompts="1" count="1">
    <dataValidation type="textLength" operator="equal" allowBlank="1" showInputMessage="1" showErrorMessage="1" error="EL BP DEBE CONTENER 10 CARACTERES!!!" sqref="E50:E51 E54:E56 E78 E72:E76" xr:uid="{7E2F1202-5342-45B5-8D63-AA07230509E1}">
      <formula1>10</formula1>
    </dataValidation>
  </dataValidation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Y20"/>
  <sheetViews>
    <sheetView topLeftCell="A6" zoomScale="70" zoomScaleNormal="70" zoomScaleSheetLayoutView="100" workbookViewId="0">
      <selection activeCell="H21" sqref="H21"/>
    </sheetView>
  </sheetViews>
  <sheetFormatPr baseColWidth="10" defaultColWidth="11.42578125" defaultRowHeight="16.5"/>
  <cols>
    <col min="1" max="1" width="13" style="2" customWidth="1"/>
    <col min="2" max="2" width="16.42578125" style="3" customWidth="1"/>
    <col min="3" max="3" width="8.5703125" style="2" customWidth="1"/>
    <col min="4" max="4" width="55" style="3" customWidth="1"/>
    <col min="5" max="5" width="15.5703125" style="3" customWidth="1"/>
    <col min="6" max="6" width="12.42578125" style="2" customWidth="1"/>
    <col min="7" max="8" width="12.42578125" style="3" customWidth="1"/>
    <col min="9" max="9" width="17.7109375" style="3" customWidth="1"/>
    <col min="10" max="10" width="17.5703125" style="2" customWidth="1"/>
    <col min="11" max="13" width="13.28515625" style="16" customWidth="1"/>
    <col min="14" max="14" width="12.7109375" style="3" customWidth="1"/>
    <col min="15" max="15" width="11.7109375" style="2" customWidth="1"/>
    <col min="16" max="17" width="14.28515625" style="3" customWidth="1"/>
    <col min="18" max="20" width="12.7109375" style="3" customWidth="1"/>
    <col min="21" max="21" width="14.42578125" style="3" customWidth="1"/>
    <col min="22" max="23" width="10.7109375" style="3" customWidth="1"/>
    <col min="24" max="24" width="49.85546875" style="3" customWidth="1"/>
    <col min="25" max="25" width="17.28515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61" customFormat="1" ht="24.95" customHeight="1">
      <c r="A3" s="2954" t="s">
        <v>255</v>
      </c>
      <c r="B3" s="2954"/>
      <c r="C3" s="2954" t="s">
        <v>365</v>
      </c>
      <c r="D3" s="2954"/>
      <c r="E3" s="2954"/>
      <c r="F3" s="2954"/>
      <c r="G3" s="2954"/>
      <c r="H3" s="2954"/>
      <c r="I3" s="2954"/>
      <c r="J3" s="2954"/>
      <c r="K3" s="2954"/>
      <c r="L3" s="2954"/>
      <c r="M3" s="2954"/>
      <c r="N3" s="2954"/>
      <c r="O3" s="2954"/>
      <c r="P3" s="2954"/>
      <c r="Q3" s="2954"/>
      <c r="R3" s="2954"/>
      <c r="S3" s="2954"/>
      <c r="T3" s="2834" t="s">
        <v>17</v>
      </c>
      <c r="U3" s="2834"/>
      <c r="V3" s="2835">
        <v>45473</v>
      </c>
      <c r="W3" s="2834"/>
      <c r="X3" s="40" t="s">
        <v>5</v>
      </c>
      <c r="Y3" s="42">
        <v>2024</v>
      </c>
    </row>
    <row r="4" spans="1:25" s="57" customFormat="1" ht="25.5" customHeight="1">
      <c r="A4" s="3402"/>
      <c r="B4" s="3402"/>
      <c r="C4" s="3402"/>
      <c r="D4" s="3402"/>
      <c r="E4" s="3402"/>
      <c r="F4" s="3402"/>
      <c r="G4" s="3402"/>
      <c r="H4" s="3402"/>
      <c r="I4" s="3402"/>
      <c r="J4" s="3402"/>
      <c r="K4" s="3402"/>
      <c r="L4" s="3402"/>
      <c r="M4" s="3402"/>
      <c r="N4" s="3402"/>
      <c r="O4" s="3402"/>
      <c r="P4" s="3402"/>
      <c r="Q4" s="3402"/>
      <c r="R4" s="3402"/>
      <c r="S4" s="3402"/>
      <c r="T4" s="3402"/>
      <c r="U4" s="3402"/>
      <c r="V4" s="3402"/>
      <c r="W4" s="3402"/>
      <c r="X4" s="3402"/>
    </row>
    <row r="5" spans="1:25" s="57" customFormat="1" ht="53.25" customHeight="1">
      <c r="A5" s="2836" t="s">
        <v>74</v>
      </c>
      <c r="B5" s="2836" t="s">
        <v>4</v>
      </c>
      <c r="C5" s="2836" t="s">
        <v>3</v>
      </c>
      <c r="D5" s="2836" t="s">
        <v>94</v>
      </c>
      <c r="E5" s="2836" t="s">
        <v>2</v>
      </c>
      <c r="F5" s="2836" t="s">
        <v>75</v>
      </c>
      <c r="G5" s="2836" t="s">
        <v>92</v>
      </c>
      <c r="H5" s="2836" t="s">
        <v>93</v>
      </c>
      <c r="I5" s="2836" t="s">
        <v>8</v>
      </c>
      <c r="J5" s="2836" t="s">
        <v>9</v>
      </c>
      <c r="K5" s="2836" t="s">
        <v>10</v>
      </c>
      <c r="L5" s="3006" t="s">
        <v>11</v>
      </c>
      <c r="M5" s="2838" t="s">
        <v>86</v>
      </c>
      <c r="N5" s="3007" t="s">
        <v>12</v>
      </c>
      <c r="O5" s="3007" t="s">
        <v>72</v>
      </c>
      <c r="P5" s="3008" t="s">
        <v>1</v>
      </c>
      <c r="Q5" s="3007" t="s">
        <v>13</v>
      </c>
      <c r="R5" s="3007" t="s">
        <v>14</v>
      </c>
      <c r="S5" s="3007" t="s">
        <v>16</v>
      </c>
      <c r="T5" s="3007" t="s">
        <v>15</v>
      </c>
      <c r="U5" s="3007" t="s">
        <v>89</v>
      </c>
      <c r="V5" s="3008" t="s">
        <v>6</v>
      </c>
      <c r="W5" s="3008" t="s">
        <v>7</v>
      </c>
      <c r="X5" s="3007" t="s">
        <v>0</v>
      </c>
      <c r="Y5" s="2848" t="s">
        <v>76</v>
      </c>
    </row>
    <row r="6" spans="1:25" s="57" customFormat="1" ht="42.75" customHeight="1">
      <c r="A6" s="2836"/>
      <c r="B6" s="2836"/>
      <c r="C6" s="2836"/>
      <c r="D6" s="2836"/>
      <c r="E6" s="2836"/>
      <c r="F6" s="2836"/>
      <c r="G6" s="2836"/>
      <c r="H6" s="2836"/>
      <c r="I6" s="2836"/>
      <c r="J6" s="2836"/>
      <c r="K6" s="2836"/>
      <c r="L6" s="2941"/>
      <c r="M6" s="2838"/>
      <c r="N6" s="2939"/>
      <c r="O6" s="2939"/>
      <c r="P6" s="2945"/>
      <c r="Q6" s="2939"/>
      <c r="R6" s="2939"/>
      <c r="S6" s="2939"/>
      <c r="T6" s="2939"/>
      <c r="U6" s="2939"/>
      <c r="V6" s="2945"/>
      <c r="W6" s="2945"/>
      <c r="X6" s="2939"/>
      <c r="Y6" s="2956"/>
    </row>
    <row r="7" spans="1:25">
      <c r="A7" s="2036"/>
      <c r="B7" s="2037">
        <v>53</v>
      </c>
      <c r="C7" s="2037" t="s">
        <v>100</v>
      </c>
      <c r="D7" s="2038" t="s">
        <v>175</v>
      </c>
      <c r="E7" s="2036"/>
      <c r="F7" s="1638"/>
      <c r="G7" s="2036"/>
      <c r="H7" s="1638"/>
      <c r="I7" s="2036"/>
      <c r="J7" s="1638"/>
      <c r="K7" s="1287"/>
      <c r="L7" s="2039"/>
      <c r="M7" s="2040"/>
      <c r="N7" s="2040"/>
      <c r="O7" s="2041"/>
      <c r="P7" s="2040"/>
      <c r="Q7" s="2040"/>
      <c r="R7" s="2040"/>
      <c r="S7" s="2040"/>
      <c r="T7" s="2042"/>
      <c r="U7" s="2042"/>
      <c r="V7" s="2040"/>
      <c r="W7" s="2040"/>
      <c r="X7" s="2040"/>
      <c r="Y7" s="2040"/>
    </row>
    <row r="8" spans="1:25">
      <c r="A8" s="86"/>
      <c r="B8" s="1145">
        <v>5301</v>
      </c>
      <c r="C8" s="1145" t="s">
        <v>101</v>
      </c>
      <c r="D8" s="1148" t="s">
        <v>248</v>
      </c>
      <c r="E8" s="86"/>
      <c r="F8" s="94"/>
      <c r="G8" s="86"/>
      <c r="H8" s="94"/>
      <c r="I8" s="86"/>
      <c r="J8" s="94"/>
      <c r="K8" s="664"/>
      <c r="L8" s="1288"/>
      <c r="M8" s="273"/>
      <c r="N8" s="273"/>
      <c r="O8" s="2043"/>
      <c r="P8" s="273"/>
      <c r="Q8" s="273"/>
      <c r="R8" s="273"/>
      <c r="S8" s="273"/>
      <c r="T8" s="215"/>
      <c r="U8" s="215"/>
      <c r="V8" s="273"/>
      <c r="W8" s="273"/>
      <c r="X8" s="273"/>
      <c r="Y8" s="273"/>
    </row>
    <row r="9" spans="1:25">
      <c r="A9" s="86"/>
      <c r="B9" s="129">
        <v>5301003</v>
      </c>
      <c r="C9" s="129" t="s">
        <v>102</v>
      </c>
      <c r="D9" s="93" t="s">
        <v>249</v>
      </c>
      <c r="E9" s="86"/>
      <c r="F9" s="94"/>
      <c r="G9" s="86"/>
      <c r="H9" s="94"/>
      <c r="I9" s="86"/>
      <c r="J9" s="94"/>
      <c r="K9" s="664"/>
      <c r="L9" s="1288"/>
      <c r="M9" s="273"/>
      <c r="N9" s="273"/>
      <c r="O9" s="2043"/>
      <c r="P9" s="273"/>
      <c r="Q9" s="86"/>
      <c r="R9" s="86"/>
      <c r="S9" s="86"/>
      <c r="T9" s="215"/>
      <c r="U9" s="215"/>
      <c r="V9" s="2044"/>
      <c r="W9" s="2044"/>
      <c r="X9" s="93"/>
      <c r="Y9" s="86"/>
    </row>
    <row r="10" spans="1:25">
      <c r="A10" s="88"/>
      <c r="B10" s="2045" t="s">
        <v>5770</v>
      </c>
      <c r="C10" s="111" t="s">
        <v>103</v>
      </c>
      <c r="D10" s="71" t="s">
        <v>250</v>
      </c>
      <c r="E10" s="88"/>
      <c r="F10" s="1415">
        <v>1</v>
      </c>
      <c r="G10" s="88"/>
      <c r="H10" s="2046"/>
      <c r="I10" s="88"/>
      <c r="J10" s="70"/>
      <c r="K10" s="658"/>
      <c r="L10" s="1268"/>
      <c r="M10" s="135"/>
      <c r="N10" s="1288"/>
      <c r="O10" s="2043"/>
      <c r="P10" s="135"/>
      <c r="Q10" s="86"/>
      <c r="R10" s="86"/>
      <c r="S10" s="86"/>
      <c r="T10" s="215"/>
      <c r="U10" s="215"/>
      <c r="V10" s="2047"/>
      <c r="W10" s="2047"/>
      <c r="X10" s="93"/>
      <c r="Y10" s="88"/>
    </row>
    <row r="11" spans="1:25">
      <c r="A11" s="2853">
        <v>4183</v>
      </c>
      <c r="B11" s="2853"/>
      <c r="C11" s="2853" t="s">
        <v>109</v>
      </c>
      <c r="D11" s="2921" t="s">
        <v>354</v>
      </c>
      <c r="E11" s="128" t="s">
        <v>355</v>
      </c>
      <c r="F11" s="128"/>
      <c r="G11" s="92"/>
      <c r="H11" s="98"/>
      <c r="I11" s="110"/>
      <c r="J11" s="110"/>
      <c r="K11" s="216">
        <f>K12</f>
        <v>1</v>
      </c>
      <c r="L11" s="218">
        <f>SUM(L12:L15)</f>
        <v>1</v>
      </c>
      <c r="M11" s="216"/>
      <c r="N11" s="228">
        <f>SUM(N12:N15)</f>
        <v>0.39359631578947368</v>
      </c>
      <c r="O11" s="2992">
        <f>IF(Q11&gt;0,N11,"na")</f>
        <v>0.39359631578947368</v>
      </c>
      <c r="P11" s="216">
        <v>6352578747</v>
      </c>
      <c r="Q11" s="216">
        <v>8866794147</v>
      </c>
      <c r="R11" s="216">
        <f t="shared" ref="R11:S11" si="0">SUM(R12:R15)</f>
        <v>3417850958</v>
      </c>
      <c r="S11" s="2048">
        <f t="shared" si="0"/>
        <v>1827293421</v>
      </c>
      <c r="T11" s="75">
        <f t="shared" ref="T11:U15" si="1">+IF(Q11=0,0,R11/Q11)</f>
        <v>0.38546637052089444</v>
      </c>
      <c r="U11" s="75">
        <f t="shared" si="1"/>
        <v>0.53463227140520619</v>
      </c>
      <c r="V11" s="1635"/>
      <c r="W11" s="1635"/>
      <c r="X11" s="92"/>
      <c r="Y11" s="128"/>
    </row>
    <row r="12" spans="1:25" ht="54" customHeight="1">
      <c r="A12" s="2850"/>
      <c r="B12" s="2850"/>
      <c r="C12" s="2850"/>
      <c r="D12" s="2850"/>
      <c r="E12" s="1633" t="s">
        <v>356</v>
      </c>
      <c r="F12" s="128"/>
      <c r="G12" s="2853" t="s">
        <v>357</v>
      </c>
      <c r="H12" s="3404" t="s">
        <v>5771</v>
      </c>
      <c r="I12" s="110" t="s">
        <v>4702</v>
      </c>
      <c r="J12" s="110" t="s">
        <v>358</v>
      </c>
      <c r="K12" s="216">
        <v>1</v>
      </c>
      <c r="L12" s="2049">
        <v>0.4</v>
      </c>
      <c r="M12" s="216">
        <v>0</v>
      </c>
      <c r="N12" s="223">
        <v>0.08</v>
      </c>
      <c r="O12" s="2850"/>
      <c r="P12" s="216">
        <v>1381953600</v>
      </c>
      <c r="Q12" s="216">
        <v>1816488166</v>
      </c>
      <c r="R12" s="216">
        <v>569981218</v>
      </c>
      <c r="S12" s="2048">
        <v>225675106</v>
      </c>
      <c r="T12" s="75">
        <f t="shared" si="1"/>
        <v>0.31378196052613316</v>
      </c>
      <c r="U12" s="75">
        <f t="shared" si="1"/>
        <v>0.39593428497849203</v>
      </c>
      <c r="V12" s="2050">
        <v>45344</v>
      </c>
      <c r="W12" s="2051">
        <v>45657</v>
      </c>
      <c r="X12" s="934" t="s">
        <v>5772</v>
      </c>
      <c r="Y12" s="2853" t="s">
        <v>359</v>
      </c>
    </row>
    <row r="13" spans="1:25" ht="67.5" customHeight="1">
      <c r="A13" s="2850"/>
      <c r="B13" s="2850"/>
      <c r="C13" s="2850"/>
      <c r="D13" s="2850"/>
      <c r="E13" s="1633" t="s">
        <v>360</v>
      </c>
      <c r="F13" s="128"/>
      <c r="G13" s="2850"/>
      <c r="H13" s="2850"/>
      <c r="I13" s="110" t="s">
        <v>5773</v>
      </c>
      <c r="J13" s="110" t="s">
        <v>361</v>
      </c>
      <c r="K13" s="216">
        <v>5000</v>
      </c>
      <c r="L13" s="2049">
        <v>0.3</v>
      </c>
      <c r="M13" s="216">
        <v>2447</v>
      </c>
      <c r="N13" s="223">
        <f t="shared" ref="N13:N15" si="2">((L13*M13)/K13)*100%</f>
        <v>0.14682000000000001</v>
      </c>
      <c r="O13" s="2850"/>
      <c r="P13" s="216">
        <v>3900542191</v>
      </c>
      <c r="Q13" s="216">
        <v>5158542191</v>
      </c>
      <c r="R13" s="216">
        <v>2436209740</v>
      </c>
      <c r="S13" s="2048">
        <v>1368643315</v>
      </c>
      <c r="T13" s="75">
        <f t="shared" si="1"/>
        <v>0.47226709597343292</v>
      </c>
      <c r="U13" s="75">
        <f t="shared" si="1"/>
        <v>0.56179207090765515</v>
      </c>
      <c r="V13" s="2050">
        <v>45316</v>
      </c>
      <c r="W13" s="2051">
        <v>45657</v>
      </c>
      <c r="X13" s="1270" t="s">
        <v>5774</v>
      </c>
      <c r="Y13" s="2850"/>
    </row>
    <row r="14" spans="1:25" ht="67.5" customHeight="1">
      <c r="A14" s="2850"/>
      <c r="B14" s="2850"/>
      <c r="C14" s="2850"/>
      <c r="D14" s="2850"/>
      <c r="E14" s="1633" t="s">
        <v>362</v>
      </c>
      <c r="F14" s="128"/>
      <c r="G14" s="2850"/>
      <c r="H14" s="2850"/>
      <c r="I14" s="110" t="s">
        <v>5775</v>
      </c>
      <c r="J14" s="110" t="s">
        <v>363</v>
      </c>
      <c r="K14" s="216">
        <v>304</v>
      </c>
      <c r="L14" s="2049">
        <v>0.15</v>
      </c>
      <c r="M14" s="216">
        <v>243</v>
      </c>
      <c r="N14" s="223">
        <f t="shared" si="2"/>
        <v>0.11990131578947368</v>
      </c>
      <c r="O14" s="2850"/>
      <c r="P14" s="216">
        <v>573928556</v>
      </c>
      <c r="Q14" s="216">
        <v>1101364990</v>
      </c>
      <c r="R14" s="216">
        <v>153964000</v>
      </c>
      <c r="S14" s="2048">
        <v>72888000</v>
      </c>
      <c r="T14" s="75">
        <f t="shared" si="1"/>
        <v>0.13979380259762933</v>
      </c>
      <c r="U14" s="75">
        <f t="shared" si="1"/>
        <v>0.47340936842378739</v>
      </c>
      <c r="V14" s="2050">
        <v>45316</v>
      </c>
      <c r="W14" s="2051">
        <v>45657</v>
      </c>
      <c r="X14" s="1270" t="s">
        <v>5776</v>
      </c>
      <c r="Y14" s="2850"/>
    </row>
    <row r="15" spans="1:25" ht="67.5" customHeight="1">
      <c r="A15" s="2856"/>
      <c r="B15" s="2856"/>
      <c r="C15" s="2856"/>
      <c r="D15" s="2856"/>
      <c r="E15" s="2052" t="s">
        <v>364</v>
      </c>
      <c r="F15" s="131"/>
      <c r="G15" s="2856"/>
      <c r="H15" s="2856"/>
      <c r="I15" s="181" t="s">
        <v>4703</v>
      </c>
      <c r="J15" s="181" t="s">
        <v>254</v>
      </c>
      <c r="K15" s="2053">
        <v>2400</v>
      </c>
      <c r="L15" s="2054">
        <v>0.15</v>
      </c>
      <c r="M15" s="2053">
        <v>750</v>
      </c>
      <c r="N15" s="2055">
        <f t="shared" si="2"/>
        <v>4.6875E-2</v>
      </c>
      <c r="O15" s="2856"/>
      <c r="P15" s="706">
        <v>496154400</v>
      </c>
      <c r="Q15" s="706">
        <v>790398800</v>
      </c>
      <c r="R15" s="706">
        <v>257696000</v>
      </c>
      <c r="S15" s="2056">
        <v>160087000</v>
      </c>
      <c r="T15" s="139">
        <f t="shared" si="1"/>
        <v>0.32603288365316346</v>
      </c>
      <c r="U15" s="139">
        <f t="shared" si="1"/>
        <v>0.62122423320501674</v>
      </c>
      <c r="V15" s="2057">
        <v>45318</v>
      </c>
      <c r="W15" s="2058">
        <v>45657</v>
      </c>
      <c r="X15" s="2059" t="s">
        <v>5777</v>
      </c>
      <c r="Y15" s="2856"/>
    </row>
    <row r="16" spans="1:25">
      <c r="A16" s="102"/>
      <c r="B16" s="53"/>
      <c r="C16" s="102"/>
      <c r="D16" s="53"/>
      <c r="E16" s="53"/>
      <c r="F16" s="53"/>
      <c r="G16" s="53"/>
      <c r="H16" s="53"/>
      <c r="I16" s="53"/>
      <c r="J16" s="102"/>
      <c r="K16" s="2060"/>
      <c r="L16" s="103"/>
      <c r="M16" s="103"/>
      <c r="N16" s="53"/>
      <c r="O16" s="102"/>
      <c r="P16" s="53"/>
      <c r="Q16" s="53"/>
      <c r="R16" s="53"/>
      <c r="S16" s="53"/>
      <c r="T16" s="53"/>
      <c r="U16" s="53"/>
      <c r="V16" s="53"/>
      <c r="W16" s="53"/>
      <c r="X16" s="53"/>
      <c r="Y16" s="55"/>
    </row>
    <row r="17" spans="1:25">
      <c r="A17" s="102"/>
      <c r="B17" s="109" t="s">
        <v>36</v>
      </c>
      <c r="C17" s="109">
        <f>COUNTIF(C7:C15,"pr")</f>
        <v>1</v>
      </c>
      <c r="D17" s="56"/>
      <c r="E17" s="51" t="s">
        <v>112</v>
      </c>
      <c r="F17" s="51"/>
      <c r="G17" s="51"/>
      <c r="H17" s="52">
        <f>COUNTIF(O7:O15,"na")</f>
        <v>0</v>
      </c>
      <c r="I17" s="51"/>
      <c r="J17" s="52"/>
      <c r="K17" s="51"/>
      <c r="L17" s="709"/>
      <c r="M17" s="107"/>
      <c r="N17" s="52" t="s">
        <v>113</v>
      </c>
      <c r="O17" s="2061">
        <f>AVERAGE(O7:O15)</f>
        <v>0.39359631578947368</v>
      </c>
      <c r="P17" s="54">
        <f t="shared" ref="P17:S17" si="3">P11</f>
        <v>6352578747</v>
      </c>
      <c r="Q17" s="54">
        <f t="shared" si="3"/>
        <v>8866794147</v>
      </c>
      <c r="R17" s="54">
        <f t="shared" si="3"/>
        <v>3417850958</v>
      </c>
      <c r="S17" s="54">
        <f t="shared" si="3"/>
        <v>1827293421</v>
      </c>
      <c r="T17" s="119">
        <f t="shared" ref="T17:U17" si="4">+IF(Q17=0,0,R17/Q17)</f>
        <v>0.38546637052089444</v>
      </c>
      <c r="U17" s="2062">
        <f t="shared" si="4"/>
        <v>0.53463227140520619</v>
      </c>
      <c r="V17" s="53"/>
      <c r="W17" s="53"/>
      <c r="X17" s="53"/>
      <c r="Y17" s="55"/>
    </row>
    <row r="18" spans="1:25">
      <c r="A18" s="102"/>
      <c r="B18" s="109"/>
      <c r="C18" s="109"/>
      <c r="D18" s="56"/>
      <c r="E18" s="51"/>
      <c r="F18" s="51"/>
      <c r="G18" s="51"/>
      <c r="H18" s="51"/>
      <c r="I18" s="51"/>
      <c r="J18" s="52"/>
      <c r="K18" s="709"/>
      <c r="L18" s="2063"/>
      <c r="M18" s="107"/>
      <c r="N18" s="709" t="s">
        <v>119</v>
      </c>
      <c r="O18" s="559">
        <f>COUNTIF(O7:O15,"=0%")</f>
        <v>0</v>
      </c>
      <c r="P18" s="54">
        <v>6352578747</v>
      </c>
      <c r="Q18" s="54">
        <v>8866794147</v>
      </c>
      <c r="R18" s="54">
        <v>3417850958</v>
      </c>
      <c r="S18" s="54">
        <v>1827293421</v>
      </c>
      <c r="T18" s="560"/>
      <c r="U18" s="119"/>
      <c r="V18" s="53"/>
      <c r="W18" s="53"/>
      <c r="X18" s="549"/>
      <c r="Y18" s="55"/>
    </row>
    <row r="19" spans="1:25">
      <c r="B19" s="45"/>
      <c r="C19" s="47"/>
      <c r="D19" s="45"/>
      <c r="E19" s="45"/>
      <c r="F19" s="45"/>
      <c r="G19" s="45"/>
      <c r="H19" s="45"/>
      <c r="I19" s="45"/>
      <c r="J19" s="47"/>
      <c r="K19" s="48"/>
      <c r="L19" s="48"/>
      <c r="M19" s="45"/>
      <c r="N19" s="48"/>
      <c r="O19" s="206"/>
      <c r="P19" s="207"/>
      <c r="Q19" s="207"/>
      <c r="R19" s="207"/>
      <c r="S19" s="207"/>
      <c r="T19" s="206"/>
      <c r="U19" s="206"/>
    </row>
    <row r="20" spans="1:25">
      <c r="B20" s="53"/>
      <c r="C20" s="102"/>
      <c r="D20" s="53"/>
      <c r="E20" s="53"/>
      <c r="F20" s="53"/>
      <c r="G20" s="53"/>
      <c r="H20" s="53"/>
      <c r="I20" s="53"/>
      <c r="J20" s="102"/>
      <c r="K20" s="103"/>
      <c r="L20" s="103"/>
      <c r="M20" s="53"/>
      <c r="N20" s="53"/>
      <c r="O20" s="53"/>
      <c r="P20" s="53"/>
      <c r="Q20" s="53"/>
      <c r="R20" s="53"/>
      <c r="S20" s="53"/>
      <c r="T20" s="53"/>
      <c r="U20" s="53"/>
    </row>
  </sheetData>
  <autoFilter ref="A5:Y6" xr:uid="{00000000-0009-0000-0000-00001C000000}"/>
  <mergeCells count="40">
    <mergeCell ref="Y12:Y15"/>
    <mergeCell ref="O11:O15"/>
    <mergeCell ref="A11:A15"/>
    <mergeCell ref="B11:B15"/>
    <mergeCell ref="C11:C15"/>
    <mergeCell ref="D11:D15"/>
    <mergeCell ref="G12:G15"/>
    <mergeCell ref="H12:H15"/>
    <mergeCell ref="V5:V6"/>
    <mergeCell ref="W5:W6"/>
    <mergeCell ref="X5:X6"/>
    <mergeCell ref="Y5:Y6"/>
    <mergeCell ref="P5:P6"/>
    <mergeCell ref="Q5:Q6"/>
    <mergeCell ref="R5:R6"/>
    <mergeCell ref="S5:S6"/>
    <mergeCell ref="T5:T6"/>
    <mergeCell ref="U5:U6"/>
    <mergeCell ref="O5:O6"/>
    <mergeCell ref="A4:X4"/>
    <mergeCell ref="A5:A6"/>
    <mergeCell ref="B5:B6"/>
    <mergeCell ref="C5:C6"/>
    <mergeCell ref="D5:D6"/>
    <mergeCell ref="E5:E6"/>
    <mergeCell ref="F5:F6"/>
    <mergeCell ref="G5:G6"/>
    <mergeCell ref="H5:H6"/>
    <mergeCell ref="I5:I6"/>
    <mergeCell ref="J5:J6"/>
    <mergeCell ref="K5:K6"/>
    <mergeCell ref="L5:L6"/>
    <mergeCell ref="M5:M6"/>
    <mergeCell ref="N5:N6"/>
    <mergeCell ref="A1:X1"/>
    <mergeCell ref="A2:Y2"/>
    <mergeCell ref="A3:B3"/>
    <mergeCell ref="C3:S3"/>
    <mergeCell ref="T3:U3"/>
    <mergeCell ref="V3:W3"/>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4"/>
  <sheetViews>
    <sheetView topLeftCell="F15" zoomScale="90" zoomScaleNormal="90" zoomScaleSheetLayoutView="100" workbookViewId="0">
      <selection activeCell="P24" sqref="P24:S24"/>
    </sheetView>
  </sheetViews>
  <sheetFormatPr baseColWidth="10" defaultColWidth="11.42578125" defaultRowHeight="16.5"/>
  <cols>
    <col min="1" max="1" width="13" style="2" customWidth="1"/>
    <col min="2" max="2" width="10.85546875" style="3" customWidth="1"/>
    <col min="3" max="3" width="8.5703125" style="2" customWidth="1"/>
    <col min="4" max="4" width="46.42578125" style="3" customWidth="1"/>
    <col min="5" max="5" width="16.85546875" style="3" customWidth="1"/>
    <col min="6" max="6" width="12.42578125" style="3" customWidth="1"/>
    <col min="7" max="7" width="24" style="3" customWidth="1"/>
    <col min="8" max="8" width="12.42578125" style="3" customWidth="1"/>
    <col min="9" max="9" width="17.7109375" style="3" customWidth="1"/>
    <col min="10" max="10" width="17.5703125" style="2" customWidth="1"/>
    <col min="11" max="13" width="13.140625" style="16" customWidth="1"/>
    <col min="14" max="14" width="12.7109375" style="3" customWidth="1"/>
    <col min="15" max="15" width="11.7109375" style="2" customWidth="1"/>
    <col min="16" max="16" width="16.28515625" style="3" customWidth="1"/>
    <col min="17" max="17" width="15.42578125" style="3" customWidth="1"/>
    <col min="18" max="18" width="15" style="3" customWidth="1"/>
    <col min="19" max="19" width="15.28515625" style="3" customWidth="1"/>
    <col min="20" max="21" width="12.7109375" style="3" customWidth="1"/>
    <col min="22" max="23" width="10.7109375" style="3" customWidth="1"/>
    <col min="24" max="24" width="60.42578125" style="3" customWidth="1"/>
    <col min="25" max="25" width="17.140625" style="17" customWidth="1"/>
    <col min="26"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67</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30"/>
      <c r="B4" s="2831"/>
      <c r="C4" s="2831"/>
      <c r="D4" s="2831"/>
      <c r="E4" s="2831"/>
      <c r="F4" s="2831"/>
      <c r="G4" s="2831"/>
      <c r="H4" s="2831"/>
      <c r="I4" s="2831"/>
      <c r="J4" s="2831"/>
      <c r="K4" s="2831"/>
      <c r="L4" s="2831"/>
      <c r="M4" s="2831"/>
      <c r="N4" s="2831"/>
      <c r="O4" s="2831"/>
      <c r="P4" s="2831"/>
      <c r="Q4" s="2831"/>
      <c r="R4" s="2831"/>
      <c r="S4" s="2831"/>
      <c r="T4" s="2831"/>
      <c r="U4" s="2831"/>
      <c r="V4" s="2831"/>
      <c r="W4" s="2831"/>
      <c r="X4" s="2831"/>
      <c r="Y4" s="2832"/>
    </row>
    <row r="5" spans="1:25"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7" t="s">
        <v>12</v>
      </c>
      <c r="O5" s="2837" t="s">
        <v>72</v>
      </c>
      <c r="P5" s="2839" t="s">
        <v>1</v>
      </c>
      <c r="Q5" s="2837" t="s">
        <v>13</v>
      </c>
      <c r="R5" s="2837" t="s">
        <v>14</v>
      </c>
      <c r="S5" s="2837" t="s">
        <v>16</v>
      </c>
      <c r="T5" s="2837" t="s">
        <v>15</v>
      </c>
      <c r="U5" s="2837" t="s">
        <v>89</v>
      </c>
      <c r="V5" s="2839" t="s">
        <v>6</v>
      </c>
      <c r="W5" s="2839" t="s">
        <v>7</v>
      </c>
      <c r="X5" s="2837" t="s">
        <v>0</v>
      </c>
      <c r="Y5" s="2838" t="s">
        <v>76</v>
      </c>
    </row>
    <row r="6" spans="1:25" ht="42.75" customHeight="1">
      <c r="A6" s="2836"/>
      <c r="B6" s="2836"/>
      <c r="C6" s="2836"/>
      <c r="D6" s="2836"/>
      <c r="E6" s="2836"/>
      <c r="F6" s="2836"/>
      <c r="G6" s="2836"/>
      <c r="H6" s="2836"/>
      <c r="I6" s="2836"/>
      <c r="J6" s="2836"/>
      <c r="K6" s="2836"/>
      <c r="L6" s="2836"/>
      <c r="M6" s="2838"/>
      <c r="N6" s="2837"/>
      <c r="O6" s="2837"/>
      <c r="P6" s="2839"/>
      <c r="Q6" s="2837"/>
      <c r="R6" s="2837"/>
      <c r="S6" s="2837"/>
      <c r="T6" s="2837"/>
      <c r="U6" s="2837"/>
      <c r="V6" s="2839"/>
      <c r="W6" s="2839"/>
      <c r="X6" s="2837"/>
      <c r="Y6" s="2848"/>
    </row>
    <row r="7" spans="1:25">
      <c r="A7" s="77"/>
      <c r="B7" s="78">
        <v>54</v>
      </c>
      <c r="C7" s="78" t="s">
        <v>100</v>
      </c>
      <c r="D7" s="120" t="s">
        <v>108</v>
      </c>
      <c r="E7" s="266"/>
      <c r="F7" s="77"/>
      <c r="G7" s="77"/>
      <c r="H7" s="77"/>
      <c r="I7" s="77"/>
      <c r="J7" s="77"/>
      <c r="K7" s="77"/>
      <c r="L7" s="77"/>
      <c r="M7" s="267"/>
      <c r="N7" s="268"/>
      <c r="O7" s="269"/>
      <c r="P7" s="80"/>
      <c r="Q7" s="270"/>
      <c r="R7" s="77"/>
      <c r="S7" s="77"/>
      <c r="T7" s="77"/>
      <c r="U7" s="77"/>
      <c r="V7" s="77"/>
      <c r="W7" s="77"/>
      <c r="X7" s="77"/>
      <c r="Y7" s="77"/>
    </row>
    <row r="8" spans="1:25">
      <c r="A8" s="81"/>
      <c r="B8" s="82">
        <v>5402</v>
      </c>
      <c r="C8" s="82" t="s">
        <v>101</v>
      </c>
      <c r="D8" s="85" t="s">
        <v>104</v>
      </c>
      <c r="E8" s="271"/>
      <c r="F8" s="81"/>
      <c r="G8" s="81"/>
      <c r="H8" s="81"/>
      <c r="I8" s="81"/>
      <c r="J8" s="81"/>
      <c r="K8" s="81"/>
      <c r="L8" s="81"/>
      <c r="M8" s="81"/>
      <c r="N8" s="76"/>
      <c r="O8" s="101"/>
      <c r="P8" s="84"/>
      <c r="Q8" s="88"/>
      <c r="R8" s="86"/>
      <c r="S8" s="86"/>
      <c r="T8" s="86"/>
      <c r="U8" s="86"/>
      <c r="V8" s="86"/>
      <c r="W8" s="86"/>
      <c r="X8" s="86"/>
      <c r="Y8" s="81"/>
    </row>
    <row r="9" spans="1:25">
      <c r="A9" s="86"/>
      <c r="B9" s="94">
        <v>5402001</v>
      </c>
      <c r="C9" s="115" t="s">
        <v>102</v>
      </c>
      <c r="D9" s="93" t="s">
        <v>105</v>
      </c>
      <c r="E9" s="272"/>
      <c r="F9" s="86"/>
      <c r="G9" s="86"/>
      <c r="H9" s="86"/>
      <c r="I9" s="86"/>
      <c r="J9" s="86"/>
      <c r="K9" s="86"/>
      <c r="L9" s="86"/>
      <c r="M9" s="86"/>
      <c r="N9" s="76"/>
      <c r="O9" s="101"/>
      <c r="P9" s="95"/>
      <c r="Q9" s="88"/>
      <c r="R9" s="273"/>
      <c r="S9" s="86"/>
      <c r="T9" s="86"/>
      <c r="U9" s="86"/>
      <c r="V9" s="86"/>
      <c r="W9" s="86"/>
      <c r="X9" s="86"/>
      <c r="Y9" s="86"/>
    </row>
    <row r="10" spans="1:25">
      <c r="A10" s="88"/>
      <c r="B10" s="70">
        <v>54020010042</v>
      </c>
      <c r="C10" s="70" t="s">
        <v>103</v>
      </c>
      <c r="D10" s="71" t="s">
        <v>421</v>
      </c>
      <c r="E10" s="274"/>
      <c r="F10" s="275">
        <v>0.25</v>
      </c>
      <c r="G10" s="88"/>
      <c r="H10" s="276">
        <f>H15</f>
        <v>8.0799999999999997E-2</v>
      </c>
      <c r="I10" s="277"/>
      <c r="J10" s="277"/>
      <c r="K10" s="278"/>
      <c r="L10" s="278"/>
      <c r="M10" s="278"/>
      <c r="N10" s="279"/>
      <c r="O10" s="280"/>
      <c r="P10" s="281"/>
      <c r="Q10" s="282"/>
      <c r="R10" s="186"/>
      <c r="S10" s="186"/>
      <c r="T10" s="186"/>
      <c r="U10" s="186"/>
      <c r="V10" s="186"/>
      <c r="W10" s="186"/>
      <c r="X10" s="186"/>
      <c r="Y10" s="70"/>
    </row>
    <row r="11" spans="1:25" ht="16.5" customHeight="1">
      <c r="A11" s="2849">
        <v>4121</v>
      </c>
      <c r="B11" s="2849"/>
      <c r="C11" s="2849" t="s">
        <v>109</v>
      </c>
      <c r="D11" s="2852" t="s">
        <v>422</v>
      </c>
      <c r="E11" s="283" t="s">
        <v>423</v>
      </c>
      <c r="F11" s="72"/>
      <c r="G11" s="86"/>
      <c r="H11" s="284"/>
      <c r="I11" s="285"/>
      <c r="J11" s="285"/>
      <c r="K11" s="286">
        <v>1</v>
      </c>
      <c r="L11" s="287">
        <f>SUM(L12:L15)</f>
        <v>1</v>
      </c>
      <c r="M11" s="288"/>
      <c r="N11" s="288">
        <f>SUM(N12:N15)</f>
        <v>0.32250000000000001</v>
      </c>
      <c r="O11" s="280"/>
      <c r="P11" s="286">
        <f>+P12+P13+P14+P15</f>
        <v>1280030000</v>
      </c>
      <c r="Q11" s="286">
        <f>+Q12+Q13+Q14+Q15</f>
        <v>2657139000</v>
      </c>
      <c r="R11" s="286">
        <f>+R12+R13+R14+R15</f>
        <v>1612566000</v>
      </c>
      <c r="S11" s="286">
        <f>+S12+S13+S14+S15</f>
        <v>794750999</v>
      </c>
      <c r="T11" s="200">
        <f t="shared" ref="T11:U15" si="0">IF(Q11=0,0,R11/Q11)</f>
        <v>0.6068805583750041</v>
      </c>
      <c r="U11" s="200">
        <f t="shared" si="0"/>
        <v>0.49284866417870649</v>
      </c>
      <c r="V11" s="186"/>
      <c r="W11" s="186"/>
      <c r="X11" s="289"/>
      <c r="Y11" s="2853" t="s">
        <v>424</v>
      </c>
    </row>
    <row r="12" spans="1:25" ht="108" customHeight="1">
      <c r="A12" s="2850"/>
      <c r="B12" s="2850"/>
      <c r="C12" s="2850"/>
      <c r="D12" s="2850"/>
      <c r="E12" s="290" t="s">
        <v>425</v>
      </c>
      <c r="F12" s="72"/>
      <c r="G12" s="86"/>
      <c r="H12" s="291"/>
      <c r="I12" s="285" t="s">
        <v>426</v>
      </c>
      <c r="J12" s="285" t="s">
        <v>427</v>
      </c>
      <c r="K12" s="286">
        <v>3</v>
      </c>
      <c r="L12" s="287">
        <v>0.3</v>
      </c>
      <c r="M12" s="292">
        <v>2</v>
      </c>
      <c r="N12" s="287">
        <v>0.105</v>
      </c>
      <c r="O12" s="2854">
        <f>IF(Q11&gt;0,N11,"na")</f>
        <v>0.32250000000000001</v>
      </c>
      <c r="P12" s="286">
        <v>159966000</v>
      </c>
      <c r="Q12" s="286">
        <v>273296000</v>
      </c>
      <c r="R12" s="286">
        <v>195060000</v>
      </c>
      <c r="S12" s="286">
        <v>94150000</v>
      </c>
      <c r="T12" s="200">
        <f t="shared" si="0"/>
        <v>0.71373163163749198</v>
      </c>
      <c r="U12" s="200">
        <f t="shared" si="0"/>
        <v>0.48267199835947916</v>
      </c>
      <c r="V12" s="293">
        <v>45300</v>
      </c>
      <c r="W12" s="293">
        <v>45657</v>
      </c>
      <c r="X12" s="792" t="s">
        <v>4725</v>
      </c>
      <c r="Y12" s="2850"/>
    </row>
    <row r="13" spans="1:25" ht="67.5">
      <c r="A13" s="2850"/>
      <c r="B13" s="2850"/>
      <c r="C13" s="2850"/>
      <c r="D13" s="2850"/>
      <c r="E13" s="290" t="s">
        <v>428</v>
      </c>
      <c r="F13" s="72"/>
      <c r="G13" s="92"/>
      <c r="H13" s="949"/>
      <c r="I13" s="950" t="s">
        <v>429</v>
      </c>
      <c r="J13" s="950" t="s">
        <v>106</v>
      </c>
      <c r="K13" s="951">
        <v>150</v>
      </c>
      <c r="L13" s="287">
        <v>0.1</v>
      </c>
      <c r="M13" s="292">
        <v>0</v>
      </c>
      <c r="N13" s="287">
        <v>0</v>
      </c>
      <c r="O13" s="2855"/>
      <c r="P13" s="286">
        <v>40000000</v>
      </c>
      <c r="Q13" s="286">
        <v>125000000</v>
      </c>
      <c r="R13" s="286">
        <v>0</v>
      </c>
      <c r="S13" s="286">
        <v>0</v>
      </c>
      <c r="T13" s="200">
        <f t="shared" si="0"/>
        <v>0</v>
      </c>
      <c r="U13" s="200">
        <f t="shared" si="0"/>
        <v>0</v>
      </c>
      <c r="V13" s="293"/>
      <c r="W13" s="293"/>
      <c r="X13" s="952" t="s">
        <v>4726</v>
      </c>
      <c r="Y13" s="2850"/>
    </row>
    <row r="14" spans="1:25" ht="81" customHeight="1">
      <c r="A14" s="2850"/>
      <c r="B14" s="2850"/>
      <c r="C14" s="2850"/>
      <c r="D14" s="2850"/>
      <c r="E14" s="290" t="s">
        <v>430</v>
      </c>
      <c r="F14" s="72"/>
      <c r="G14" s="92"/>
      <c r="H14" s="294"/>
      <c r="I14" s="950" t="s">
        <v>431</v>
      </c>
      <c r="J14" s="950" t="s">
        <v>107</v>
      </c>
      <c r="K14" s="951">
        <v>3</v>
      </c>
      <c r="L14" s="295">
        <v>0.15</v>
      </c>
      <c r="M14" s="292">
        <v>1</v>
      </c>
      <c r="N14" s="287">
        <v>0.06</v>
      </c>
      <c r="O14" s="2855"/>
      <c r="P14" s="286">
        <v>138606000</v>
      </c>
      <c r="Q14" s="286">
        <v>254556000</v>
      </c>
      <c r="R14" s="286">
        <v>174042000</v>
      </c>
      <c r="S14" s="286">
        <v>96690000</v>
      </c>
      <c r="T14" s="200">
        <f t="shared" si="0"/>
        <v>0.68370810352142553</v>
      </c>
      <c r="U14" s="200">
        <f t="shared" si="0"/>
        <v>0.55555555555555558</v>
      </c>
      <c r="V14" s="293">
        <v>45300</v>
      </c>
      <c r="W14" s="293">
        <v>45657</v>
      </c>
      <c r="X14" s="792" t="s">
        <v>4727</v>
      </c>
      <c r="Y14" s="2850"/>
    </row>
    <row r="15" spans="1:25" ht="189" customHeight="1">
      <c r="A15" s="2851"/>
      <c r="B15" s="2851"/>
      <c r="C15" s="2851"/>
      <c r="D15" s="2851"/>
      <c r="E15" s="296" t="s">
        <v>432</v>
      </c>
      <c r="F15" s="99"/>
      <c r="G15" s="92" t="s">
        <v>433</v>
      </c>
      <c r="H15" s="297">
        <v>8.0799999999999997E-2</v>
      </c>
      <c r="I15" s="285" t="s">
        <v>434</v>
      </c>
      <c r="J15" s="285" t="s">
        <v>110</v>
      </c>
      <c r="K15" s="286">
        <v>1</v>
      </c>
      <c r="L15" s="295">
        <v>0.45</v>
      </c>
      <c r="M15" s="292">
        <v>0</v>
      </c>
      <c r="N15" s="287">
        <v>0.1575</v>
      </c>
      <c r="O15" s="2855"/>
      <c r="P15" s="298">
        <v>941458000</v>
      </c>
      <c r="Q15" s="298">
        <v>2004287000</v>
      </c>
      <c r="R15" s="286">
        <v>1243464000</v>
      </c>
      <c r="S15" s="286">
        <v>603910999</v>
      </c>
      <c r="T15" s="200">
        <f t="shared" si="0"/>
        <v>0.62040216795299274</v>
      </c>
      <c r="U15" s="200">
        <f>IF(R15=0,0,S15/R15)</f>
        <v>0.48566826140523572</v>
      </c>
      <c r="V15" s="293">
        <v>45300</v>
      </c>
      <c r="W15" s="293">
        <v>45657</v>
      </c>
      <c r="X15" s="792" t="s">
        <v>4728</v>
      </c>
      <c r="Y15" s="2851"/>
    </row>
    <row r="16" spans="1:25" ht="16.5" customHeight="1">
      <c r="A16" s="86"/>
      <c r="B16" s="94">
        <v>5402003</v>
      </c>
      <c r="C16" s="115" t="s">
        <v>102</v>
      </c>
      <c r="D16" s="93" t="s">
        <v>435</v>
      </c>
      <c r="E16" s="272"/>
      <c r="F16" s="86"/>
      <c r="G16" s="86"/>
      <c r="H16" s="299"/>
      <c r="I16" s="300"/>
      <c r="J16" s="300"/>
      <c r="K16" s="300"/>
      <c r="L16" s="300"/>
      <c r="M16" s="300"/>
      <c r="N16" s="186"/>
      <c r="O16" s="186"/>
      <c r="P16" s="301"/>
      <c r="Q16" s="186">
        <v>483519000</v>
      </c>
      <c r="R16" s="186"/>
      <c r="S16" s="186"/>
      <c r="T16" s="186"/>
      <c r="U16" s="186"/>
      <c r="V16" s="186"/>
      <c r="W16" s="186"/>
      <c r="X16" s="186"/>
      <c r="Y16" s="86"/>
    </row>
    <row r="17" spans="1:25" ht="16.5" customHeight="1">
      <c r="A17" s="88"/>
      <c r="B17" s="70">
        <v>54020030008</v>
      </c>
      <c r="C17" s="70" t="s">
        <v>103</v>
      </c>
      <c r="D17" s="71" t="s">
        <v>436</v>
      </c>
      <c r="E17" s="274"/>
      <c r="F17" s="98">
        <v>0.25</v>
      </c>
      <c r="G17" s="88"/>
      <c r="H17" s="302">
        <f>H21</f>
        <v>0.16600000000000001</v>
      </c>
      <c r="I17" s="277"/>
      <c r="J17" s="277"/>
      <c r="K17" s="278"/>
      <c r="L17" s="278"/>
      <c r="M17" s="278"/>
      <c r="N17" s="186"/>
      <c r="O17" s="186"/>
      <c r="P17" s="281"/>
      <c r="Q17" s="186"/>
      <c r="R17" s="186"/>
      <c r="S17" s="186"/>
      <c r="T17" s="186"/>
      <c r="U17" s="186"/>
      <c r="V17" s="186"/>
      <c r="W17" s="186"/>
      <c r="X17" s="186"/>
      <c r="Y17" s="70"/>
    </row>
    <row r="18" spans="1:25" ht="16.5" customHeight="1">
      <c r="A18" s="2849">
        <v>4121</v>
      </c>
      <c r="B18" s="2849"/>
      <c r="C18" s="2849" t="s">
        <v>109</v>
      </c>
      <c r="D18" s="2852" t="s">
        <v>437</v>
      </c>
      <c r="E18" s="303" t="s">
        <v>438</v>
      </c>
      <c r="F18" s="72"/>
      <c r="G18" s="86"/>
      <c r="H18" s="304"/>
      <c r="I18" s="285"/>
      <c r="J18" s="285"/>
      <c r="K18" s="286">
        <v>1</v>
      </c>
      <c r="L18" s="287">
        <f>SUM(L19:L21)</f>
        <v>1</v>
      </c>
      <c r="M18" s="287"/>
      <c r="N18" s="287">
        <f>SUM(N19:N21)</f>
        <v>9.01E-2</v>
      </c>
      <c r="O18" s="186"/>
      <c r="P18" s="286">
        <f>+P19+P20+P21</f>
        <v>219970000</v>
      </c>
      <c r="Q18" s="286">
        <f>+Q19+Q20+Q21</f>
        <v>483519000</v>
      </c>
      <c r="R18" s="286">
        <f>+R19+R20+R21</f>
        <v>164778000</v>
      </c>
      <c r="S18" s="286">
        <f>+S19+S20+S21</f>
        <v>82389000</v>
      </c>
      <c r="T18" s="200">
        <f t="shared" ref="T18:U21" si="1">IF(Q18=0,0,R18/Q18)</f>
        <v>0.34078908998405438</v>
      </c>
      <c r="U18" s="200">
        <f t="shared" si="1"/>
        <v>0.5</v>
      </c>
      <c r="V18" s="186"/>
      <c r="W18" s="186"/>
      <c r="X18" s="186"/>
      <c r="Y18" s="2853" t="s">
        <v>439</v>
      </c>
    </row>
    <row r="19" spans="1:25" ht="94.5" customHeight="1">
      <c r="A19" s="2850"/>
      <c r="B19" s="2850"/>
      <c r="C19" s="2850"/>
      <c r="D19" s="2850"/>
      <c r="E19" s="296" t="s">
        <v>440</v>
      </c>
      <c r="F19" s="72"/>
      <c r="G19" s="86"/>
      <c r="H19" s="305"/>
      <c r="I19" s="285" t="s">
        <v>441</v>
      </c>
      <c r="J19" s="285" t="s">
        <v>442</v>
      </c>
      <c r="K19" s="286">
        <v>1</v>
      </c>
      <c r="L19" s="287">
        <v>0.4</v>
      </c>
      <c r="M19" s="292">
        <v>0</v>
      </c>
      <c r="N19" s="306">
        <v>9.01E-2</v>
      </c>
      <c r="O19" s="2857">
        <f>IF(Q18&gt;0,N18,"na")</f>
        <v>9.01E-2</v>
      </c>
      <c r="P19" s="286">
        <v>90970000</v>
      </c>
      <c r="Q19" s="286">
        <v>262579000</v>
      </c>
      <c r="R19" s="286">
        <v>164778000</v>
      </c>
      <c r="S19" s="286">
        <v>82389000</v>
      </c>
      <c r="T19" s="200">
        <f t="shared" si="1"/>
        <v>0.62753685557489369</v>
      </c>
      <c r="U19" s="200">
        <f t="shared" si="1"/>
        <v>0.5</v>
      </c>
      <c r="V19" s="293">
        <v>45300</v>
      </c>
      <c r="W19" s="293">
        <v>45657</v>
      </c>
      <c r="X19" s="952" t="s">
        <v>4729</v>
      </c>
      <c r="Y19" s="2850"/>
    </row>
    <row r="20" spans="1:25" ht="27">
      <c r="A20" s="2850"/>
      <c r="B20" s="2850"/>
      <c r="C20" s="2850"/>
      <c r="D20" s="2850"/>
      <c r="E20" s="296" t="s">
        <v>443</v>
      </c>
      <c r="F20" s="72"/>
      <c r="G20" s="86"/>
      <c r="H20" s="304"/>
      <c r="I20" s="285" t="s">
        <v>444</v>
      </c>
      <c r="J20" s="285" t="s">
        <v>111</v>
      </c>
      <c r="K20" s="286">
        <v>2</v>
      </c>
      <c r="L20" s="287">
        <v>0</v>
      </c>
      <c r="M20" s="286">
        <v>0</v>
      </c>
      <c r="N20" s="306">
        <v>0</v>
      </c>
      <c r="O20" s="2858"/>
      <c r="P20" s="286">
        <v>35000000</v>
      </c>
      <c r="Q20" s="286">
        <v>126940000</v>
      </c>
      <c r="R20" s="286">
        <v>0</v>
      </c>
      <c r="S20" s="286">
        <v>0</v>
      </c>
      <c r="T20" s="200">
        <f>IF(Q20=0,0,R20/Q20)</f>
        <v>0</v>
      </c>
      <c r="U20" s="200">
        <f>IF(R20=0,0,S20/R20)</f>
        <v>0</v>
      </c>
      <c r="V20" s="293"/>
      <c r="W20" s="293"/>
      <c r="X20" s="952"/>
      <c r="Y20" s="2850"/>
    </row>
    <row r="21" spans="1:25" ht="67.5" customHeight="1">
      <c r="A21" s="2856"/>
      <c r="B21" s="2856"/>
      <c r="C21" s="2856"/>
      <c r="D21" s="2856"/>
      <c r="E21" s="296" t="s">
        <v>445</v>
      </c>
      <c r="F21" s="307"/>
      <c r="G21" s="116" t="s">
        <v>446</v>
      </c>
      <c r="H21" s="308">
        <v>0.16600000000000001</v>
      </c>
      <c r="I21" s="309" t="s">
        <v>447</v>
      </c>
      <c r="J21" s="309" t="s">
        <v>118</v>
      </c>
      <c r="K21" s="310">
        <v>1</v>
      </c>
      <c r="L21" s="311">
        <v>0.6</v>
      </c>
      <c r="M21" s="310">
        <v>0</v>
      </c>
      <c r="N21" s="312">
        <v>0</v>
      </c>
      <c r="O21" s="2859"/>
      <c r="P21" s="310">
        <v>94000000</v>
      </c>
      <c r="Q21" s="310">
        <v>94000000</v>
      </c>
      <c r="R21" s="310">
        <v>0</v>
      </c>
      <c r="S21" s="310">
        <v>0</v>
      </c>
      <c r="T21" s="313">
        <f t="shared" si="1"/>
        <v>0</v>
      </c>
      <c r="U21" s="313">
        <f t="shared" si="1"/>
        <v>0</v>
      </c>
      <c r="V21" s="953"/>
      <c r="W21" s="953"/>
      <c r="X21" s="954" t="s">
        <v>4730</v>
      </c>
      <c r="Y21" s="2856"/>
    </row>
    <row r="22" spans="1:25">
      <c r="A22" s="314"/>
      <c r="B22" s="314"/>
      <c r="C22" s="314"/>
      <c r="D22" s="314"/>
      <c r="E22" s="315"/>
      <c r="F22" s="294"/>
      <c r="G22" s="625"/>
      <c r="H22" s="801"/>
      <c r="I22" s="285"/>
      <c r="J22" s="285"/>
      <c r="K22" s="286"/>
      <c r="L22" s="287"/>
      <c r="M22" s="286"/>
      <c r="N22" s="306"/>
      <c r="O22" s="955"/>
      <c r="P22" s="200"/>
      <c r="Q22" s="200"/>
      <c r="R22" s="200"/>
      <c r="S22" s="200"/>
      <c r="T22" s="200"/>
      <c r="U22" s="200"/>
      <c r="V22" s="956"/>
      <c r="W22" s="956"/>
      <c r="X22" s="952"/>
      <c r="Y22" s="316"/>
    </row>
    <row r="23" spans="1:25">
      <c r="A23" s="314"/>
      <c r="B23" s="317" t="s">
        <v>36</v>
      </c>
      <c r="C23" s="44">
        <f>COUNTIF(C11:C21,"pr")</f>
        <v>2</v>
      </c>
      <c r="D23" s="317"/>
      <c r="E23" s="318" t="s">
        <v>112</v>
      </c>
      <c r="F23" s="46"/>
      <c r="G23" s="44">
        <f>COUNTIF(M11:M21,"na")</f>
        <v>0</v>
      </c>
      <c r="H23" s="46"/>
      <c r="I23" s="46"/>
      <c r="J23" s="44"/>
      <c r="K23" s="46"/>
      <c r="L23" s="45"/>
      <c r="M23" s="46"/>
      <c r="N23" s="44" t="s">
        <v>113</v>
      </c>
      <c r="O23" s="325">
        <f>AVERAGE(O12:O21)</f>
        <v>0.20630000000000001</v>
      </c>
      <c r="P23" s="323">
        <f>+P11+P18</f>
        <v>1500000000</v>
      </c>
      <c r="Q23" s="323">
        <f>+Q11+Q18</f>
        <v>3140658000</v>
      </c>
      <c r="R23" s="323">
        <f>+R11+R18</f>
        <v>1777344000</v>
      </c>
      <c r="S23" s="323">
        <f>+S11+S18</f>
        <v>877139999</v>
      </c>
      <c r="T23" s="200">
        <f>IF(Q23=0,0,R23/Q23)</f>
        <v>0.56591453128611902</v>
      </c>
      <c r="U23" s="200">
        <f>IF(R23=0,0,S23/R23)</f>
        <v>0.49351166628407334</v>
      </c>
      <c r="V23" s="186"/>
      <c r="W23" s="186"/>
      <c r="X23" s="186"/>
      <c r="Y23" s="316"/>
    </row>
    <row r="24" spans="1:25">
      <c r="A24" s="314"/>
      <c r="B24" s="317"/>
      <c r="C24" s="44"/>
      <c r="D24" s="317"/>
      <c r="E24" s="318"/>
      <c r="F24" s="46"/>
      <c r="G24" s="44"/>
      <c r="H24" s="46"/>
      <c r="I24" s="46"/>
      <c r="J24" s="44"/>
      <c r="K24" s="46"/>
      <c r="L24" s="45"/>
      <c r="M24" s="46"/>
      <c r="N24" s="205" t="s">
        <v>119</v>
      </c>
      <c r="O24" s="957">
        <f>COUNTIF(O12:O19,"=0%")</f>
        <v>0</v>
      </c>
      <c r="P24" s="323">
        <v>1500000000</v>
      </c>
      <c r="Q24" s="323">
        <v>3140658000</v>
      </c>
      <c r="R24" s="323">
        <v>1777344000</v>
      </c>
      <c r="S24" s="323">
        <v>877139999</v>
      </c>
      <c r="T24" s="319">
        <v>0.56591453128611902</v>
      </c>
      <c r="U24" s="319"/>
      <c r="V24" s="27"/>
      <c r="W24" s="27"/>
      <c r="X24" s="27"/>
      <c r="Y24" s="316"/>
    </row>
  </sheetData>
  <mergeCells count="44">
    <mergeCell ref="A18:A21"/>
    <mergeCell ref="B18:B21"/>
    <mergeCell ref="C18:C21"/>
    <mergeCell ref="D18:D21"/>
    <mergeCell ref="Y18:Y21"/>
    <mergeCell ref="O19:O21"/>
    <mergeCell ref="A11:A15"/>
    <mergeCell ref="B11:B15"/>
    <mergeCell ref="C11:C15"/>
    <mergeCell ref="D11:D15"/>
    <mergeCell ref="Y11:Y15"/>
    <mergeCell ref="O12:O15"/>
    <mergeCell ref="A1:X1"/>
    <mergeCell ref="A4:Y4"/>
    <mergeCell ref="A5:A6"/>
    <mergeCell ref="B5:B6"/>
    <mergeCell ref="C5:C6"/>
    <mergeCell ref="S5:S6"/>
    <mergeCell ref="T5:T6"/>
    <mergeCell ref="W5:W6"/>
    <mergeCell ref="X5:X6"/>
    <mergeCell ref="D5:D6"/>
    <mergeCell ref="E5:E6"/>
    <mergeCell ref="F5:F6"/>
    <mergeCell ref="I5:I6"/>
    <mergeCell ref="U5:U6"/>
    <mergeCell ref="V5:V6"/>
    <mergeCell ref="Y5:Y6"/>
    <mergeCell ref="J5:J6"/>
    <mergeCell ref="A2:Y2"/>
    <mergeCell ref="A3:B3"/>
    <mergeCell ref="C3:R3"/>
    <mergeCell ref="S3:U3"/>
    <mergeCell ref="V3:W3"/>
    <mergeCell ref="H5:H6"/>
    <mergeCell ref="O5:O6"/>
    <mergeCell ref="P5:P6"/>
    <mergeCell ref="M5:M6"/>
    <mergeCell ref="Q5:Q6"/>
    <mergeCell ref="R5:R6"/>
    <mergeCell ref="K5:K6"/>
    <mergeCell ref="L5:L6"/>
    <mergeCell ref="N5:N6"/>
    <mergeCell ref="G5:G6"/>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6"/>
  <sheetViews>
    <sheetView topLeftCell="A6" zoomScale="50" zoomScaleNormal="50" zoomScaleSheetLayoutView="100" workbookViewId="0">
      <selection activeCell="O16" sqref="O16"/>
    </sheetView>
  </sheetViews>
  <sheetFormatPr baseColWidth="10" defaultColWidth="11.42578125" defaultRowHeight="16.5"/>
  <cols>
    <col min="1" max="1" width="13" style="2" customWidth="1"/>
    <col min="2" max="2" width="10.85546875" style="3" customWidth="1"/>
    <col min="3" max="3" width="8.5703125" style="2" customWidth="1"/>
    <col min="4" max="4" width="46.42578125" style="3" customWidth="1"/>
    <col min="5" max="5" width="15.85546875" style="3" customWidth="1"/>
    <col min="6" max="6" width="12.42578125" style="3" customWidth="1"/>
    <col min="7" max="7" width="17.85546875" style="3" customWidth="1"/>
    <col min="8" max="8" width="12.42578125" style="3" customWidth="1"/>
    <col min="9" max="9" width="17.7109375" style="3" customWidth="1"/>
    <col min="10" max="10" width="17.5703125" style="2" customWidth="1"/>
    <col min="11" max="12" width="13.140625" style="16" customWidth="1"/>
    <col min="13" max="13" width="12.7109375" style="16" customWidth="1"/>
    <col min="14" max="14" width="11.5703125" style="3" customWidth="1"/>
    <col min="15" max="15" width="12.7109375" style="2" customWidth="1"/>
    <col min="16" max="20" width="12.7109375" style="3" customWidth="1"/>
    <col min="21" max="23" width="10.7109375" style="3" customWidth="1"/>
    <col min="24" max="24" width="34.140625" style="3" customWidth="1"/>
    <col min="25" max="25" width="13.710937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52</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5"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7" t="s">
        <v>12</v>
      </c>
      <c r="O5" s="2837" t="s">
        <v>72</v>
      </c>
      <c r="P5" s="2839" t="s">
        <v>1</v>
      </c>
      <c r="Q5" s="2837" t="s">
        <v>13</v>
      </c>
      <c r="R5" s="2837" t="s">
        <v>14</v>
      </c>
      <c r="S5" s="2837" t="s">
        <v>16</v>
      </c>
      <c r="T5" s="2837" t="s">
        <v>15</v>
      </c>
      <c r="U5" s="2837" t="s">
        <v>89</v>
      </c>
      <c r="V5" s="2839" t="s">
        <v>6</v>
      </c>
      <c r="W5" s="2839" t="s">
        <v>7</v>
      </c>
      <c r="X5" s="2837" t="s">
        <v>0</v>
      </c>
      <c r="Y5" s="2838" t="s">
        <v>76</v>
      </c>
    </row>
    <row r="6" spans="1:25" ht="42.75" customHeight="1">
      <c r="A6" s="2836"/>
      <c r="B6" s="2836"/>
      <c r="C6" s="2836"/>
      <c r="D6" s="2836"/>
      <c r="E6" s="2836"/>
      <c r="F6" s="2836"/>
      <c r="G6" s="2836"/>
      <c r="H6" s="2836"/>
      <c r="I6" s="2836"/>
      <c r="J6" s="2836"/>
      <c r="K6" s="2836"/>
      <c r="L6" s="2836"/>
      <c r="M6" s="2838"/>
      <c r="N6" s="2837"/>
      <c r="O6" s="2837"/>
      <c r="P6" s="2839"/>
      <c r="Q6" s="2837"/>
      <c r="R6" s="2837"/>
      <c r="S6" s="2837"/>
      <c r="T6" s="2837"/>
      <c r="U6" s="2837"/>
      <c r="V6" s="2839"/>
      <c r="W6" s="2839"/>
      <c r="X6" s="2837"/>
      <c r="Y6" s="2838"/>
    </row>
    <row r="7" spans="1:25">
      <c r="A7" s="138"/>
      <c r="B7" s="78">
        <v>54</v>
      </c>
      <c r="C7" s="78" t="s">
        <v>100</v>
      </c>
      <c r="D7" s="120" t="s">
        <v>108</v>
      </c>
      <c r="E7" s="79"/>
      <c r="F7" s="77"/>
      <c r="G7" s="77"/>
      <c r="H7" s="77"/>
      <c r="I7" s="77"/>
      <c r="J7" s="77"/>
      <c r="K7" s="77"/>
      <c r="L7" s="77"/>
      <c r="M7" s="80"/>
      <c r="N7" s="79"/>
      <c r="O7" s="79"/>
      <c r="P7" s="77"/>
      <c r="Q7" s="77"/>
      <c r="R7" s="77"/>
      <c r="S7" s="77"/>
      <c r="T7" s="77"/>
      <c r="U7" s="77"/>
      <c r="V7" s="77"/>
      <c r="W7" s="77"/>
      <c r="X7" s="77"/>
      <c r="Y7" s="77"/>
    </row>
    <row r="8" spans="1:25">
      <c r="A8" s="81"/>
      <c r="B8" s="114">
        <v>5402</v>
      </c>
      <c r="C8" s="114" t="s">
        <v>126</v>
      </c>
      <c r="D8" s="85" t="s">
        <v>104</v>
      </c>
      <c r="E8" s="83"/>
      <c r="F8" s="81"/>
      <c r="G8" s="81"/>
      <c r="H8" s="81"/>
      <c r="I8" s="81"/>
      <c r="J8" s="81"/>
      <c r="K8" s="81"/>
      <c r="L8" s="81"/>
      <c r="M8" s="84"/>
      <c r="N8" s="83"/>
      <c r="O8" s="83"/>
      <c r="P8" s="81"/>
      <c r="Q8" s="81"/>
      <c r="R8" s="81"/>
      <c r="S8" s="81"/>
      <c r="T8" s="81"/>
      <c r="U8" s="81"/>
      <c r="V8" s="81"/>
      <c r="W8" s="81"/>
      <c r="X8" s="81"/>
      <c r="Y8" s="81"/>
    </row>
    <row r="9" spans="1:25">
      <c r="A9" s="129"/>
      <c r="B9" s="115">
        <v>5402001</v>
      </c>
      <c r="C9" s="115" t="s">
        <v>102</v>
      </c>
      <c r="D9" s="93" t="s">
        <v>105</v>
      </c>
      <c r="E9" s="87"/>
      <c r="F9" s="87"/>
      <c r="G9" s="87"/>
      <c r="H9" s="87"/>
      <c r="I9" s="93"/>
      <c r="J9" s="93"/>
      <c r="K9" s="129"/>
      <c r="L9" s="129"/>
      <c r="M9" s="95"/>
      <c r="N9" s="175"/>
      <c r="O9" s="175"/>
      <c r="P9" s="93"/>
      <c r="Q9" s="86"/>
      <c r="R9" s="86"/>
      <c r="S9" s="86"/>
      <c r="T9" s="86"/>
      <c r="U9" s="86"/>
      <c r="V9" s="86"/>
      <c r="W9" s="86"/>
      <c r="X9" s="86"/>
      <c r="Y9" s="86"/>
    </row>
    <row r="10" spans="1:25" ht="25.5">
      <c r="A10" s="111"/>
      <c r="B10" s="112">
        <v>54020010010</v>
      </c>
      <c r="C10" s="112" t="s">
        <v>103</v>
      </c>
      <c r="D10" s="71" t="s">
        <v>127</v>
      </c>
      <c r="E10" s="101"/>
      <c r="F10" s="111">
        <v>400</v>
      </c>
      <c r="G10" s="101"/>
      <c r="H10" s="111"/>
      <c r="I10" s="71"/>
      <c r="J10" s="71"/>
      <c r="K10" s="111"/>
      <c r="L10" s="111"/>
      <c r="M10" s="76"/>
      <c r="N10" s="141"/>
      <c r="O10" s="141"/>
      <c r="P10" s="71"/>
      <c r="Q10" s="88"/>
      <c r="R10" s="88"/>
      <c r="S10" s="88"/>
      <c r="T10" s="88"/>
      <c r="U10" s="88"/>
      <c r="V10" s="88"/>
      <c r="W10" s="88"/>
      <c r="X10" s="88"/>
      <c r="Y10" s="88"/>
    </row>
    <row r="11" spans="1:25" ht="13.9" customHeight="1">
      <c r="A11" s="2863">
        <v>4123</v>
      </c>
      <c r="B11" s="2865"/>
      <c r="C11" s="2867" t="s">
        <v>109</v>
      </c>
      <c r="D11" s="2869" t="s">
        <v>307</v>
      </c>
      <c r="E11" s="176" t="s">
        <v>308</v>
      </c>
      <c r="F11" s="142"/>
      <c r="G11" s="142"/>
      <c r="H11" s="143">
        <f>H12</f>
        <v>400</v>
      </c>
      <c r="I11" s="142"/>
      <c r="J11" s="142"/>
      <c r="K11" s="144">
        <v>400</v>
      </c>
      <c r="L11" s="145">
        <f>L12+L13</f>
        <v>1</v>
      </c>
      <c r="M11" s="146"/>
      <c r="N11" s="147">
        <f>N12+N13</f>
        <v>0.23</v>
      </c>
      <c r="O11" s="2871">
        <f>IF(Q11&gt;0, N11,"na")</f>
        <v>0.23</v>
      </c>
      <c r="P11" s="148">
        <f>P12+P13</f>
        <v>500000000</v>
      </c>
      <c r="Q11" s="148">
        <f>Q12+Q13</f>
        <v>500000000</v>
      </c>
      <c r="R11" s="148">
        <f>R12+R13</f>
        <v>329921150</v>
      </c>
      <c r="S11" s="149">
        <f>S12+S13</f>
        <v>148590000</v>
      </c>
      <c r="T11" s="150">
        <f>+IF(Q11=0,0,R11/Q11)</f>
        <v>0.65984229999999999</v>
      </c>
      <c r="U11" s="151">
        <f>IF(R11=0,0,S11/R11)</f>
        <v>0.45038034087841899</v>
      </c>
      <c r="V11" s="152"/>
      <c r="W11" s="152"/>
      <c r="X11" s="152"/>
      <c r="Y11" s="152"/>
    </row>
    <row r="12" spans="1:25" ht="270">
      <c r="A12" s="2863"/>
      <c r="B12" s="2865"/>
      <c r="C12" s="2867"/>
      <c r="D12" s="2869"/>
      <c r="E12" s="176" t="s">
        <v>345</v>
      </c>
      <c r="F12" s="153"/>
      <c r="G12" s="154" t="s">
        <v>128</v>
      </c>
      <c r="H12" s="155">
        <v>400</v>
      </c>
      <c r="I12" s="156" t="s">
        <v>129</v>
      </c>
      <c r="J12" s="156" t="s">
        <v>130</v>
      </c>
      <c r="K12" s="144">
        <v>400</v>
      </c>
      <c r="L12" s="157">
        <v>0.5</v>
      </c>
      <c r="M12" s="146">
        <v>406</v>
      </c>
      <c r="N12" s="158">
        <v>0.16</v>
      </c>
      <c r="O12" s="2871"/>
      <c r="P12" s="146">
        <v>193636000</v>
      </c>
      <c r="Q12" s="146">
        <v>169988000</v>
      </c>
      <c r="R12" s="146">
        <v>126743250</v>
      </c>
      <c r="S12" s="148">
        <v>56770000</v>
      </c>
      <c r="T12" s="150">
        <f>+IF(Q12=0,0,R12/Q12)</f>
        <v>0.74560116008188815</v>
      </c>
      <c r="U12" s="151">
        <f>IF(R12=0,0,S12/R12)</f>
        <v>0.44791339972740163</v>
      </c>
      <c r="V12" s="159">
        <v>45306</v>
      </c>
      <c r="W12" s="159">
        <v>45657</v>
      </c>
      <c r="X12" s="160" t="s">
        <v>4731</v>
      </c>
      <c r="Y12" s="2861" t="s">
        <v>131</v>
      </c>
    </row>
    <row r="13" spans="1:25" ht="130.5" customHeight="1">
      <c r="A13" s="2864"/>
      <c r="B13" s="2866"/>
      <c r="C13" s="2868"/>
      <c r="D13" s="2870"/>
      <c r="E13" s="177" t="s">
        <v>346</v>
      </c>
      <c r="F13" s="161"/>
      <c r="G13" s="162"/>
      <c r="H13" s="163"/>
      <c r="I13" s="164" t="s">
        <v>504</v>
      </c>
      <c r="J13" s="165" t="s">
        <v>132</v>
      </c>
      <c r="K13" s="166">
        <v>6</v>
      </c>
      <c r="L13" s="167">
        <v>0.5</v>
      </c>
      <c r="M13" s="168">
        <v>6</v>
      </c>
      <c r="N13" s="169">
        <v>7.0000000000000007E-2</v>
      </c>
      <c r="O13" s="2872"/>
      <c r="P13" s="170">
        <v>306364000</v>
      </c>
      <c r="Q13" s="170">
        <v>330012000</v>
      </c>
      <c r="R13" s="168">
        <v>203177900</v>
      </c>
      <c r="S13" s="170">
        <v>91820000</v>
      </c>
      <c r="T13" s="171">
        <f>+IF(Q13=0,0,R13/Q13)</f>
        <v>0.61566821812540151</v>
      </c>
      <c r="U13" s="172">
        <f>IF(R13=0,0,S13/R13)</f>
        <v>0.45191922940437912</v>
      </c>
      <c r="V13" s="173">
        <v>45311</v>
      </c>
      <c r="W13" s="159">
        <v>45657</v>
      </c>
      <c r="X13" s="174" t="s">
        <v>4732</v>
      </c>
      <c r="Y13" s="2862"/>
    </row>
    <row r="14" spans="1:25">
      <c r="A14" s="51"/>
      <c r="B14" s="52"/>
      <c r="C14" s="52"/>
      <c r="D14" s="56"/>
      <c r="E14" s="51"/>
      <c r="F14" s="51"/>
      <c r="G14" s="51"/>
      <c r="H14" s="51"/>
      <c r="I14" s="51"/>
      <c r="J14" s="52"/>
      <c r="K14" s="51"/>
      <c r="L14" s="51"/>
      <c r="M14" s="51"/>
      <c r="N14" s="51"/>
      <c r="O14" s="51"/>
      <c r="P14" s="51"/>
      <c r="Q14" s="51"/>
      <c r="R14" s="51"/>
      <c r="S14" s="51"/>
      <c r="T14" s="51"/>
      <c r="U14" s="51"/>
      <c r="V14" s="51"/>
      <c r="W14" s="51"/>
      <c r="X14" s="51"/>
      <c r="Y14" s="51"/>
    </row>
    <row r="15" spans="1:25">
      <c r="A15" s="51"/>
      <c r="B15" s="52" t="s">
        <v>36</v>
      </c>
      <c r="C15" s="52">
        <f>COUNTIF(C7:C13,"pr")</f>
        <v>1</v>
      </c>
      <c r="D15" s="56"/>
      <c r="E15" s="51" t="s">
        <v>112</v>
      </c>
      <c r="F15" s="51"/>
      <c r="G15" s="51">
        <f>COUNTIF(O11,"na")</f>
        <v>0</v>
      </c>
      <c r="H15" s="51"/>
      <c r="I15" s="51"/>
      <c r="J15" s="52"/>
      <c r="K15" s="51"/>
      <c r="L15" s="51"/>
      <c r="M15" s="51"/>
      <c r="N15" s="51" t="s">
        <v>113</v>
      </c>
      <c r="O15" s="958">
        <f>AVERAGE(O11)</f>
        <v>0.23</v>
      </c>
      <c r="P15" s="708">
        <f>P11</f>
        <v>500000000</v>
      </c>
      <c r="Q15" s="708">
        <f>Q11</f>
        <v>500000000</v>
      </c>
      <c r="R15" s="708">
        <f>R11</f>
        <v>329921150</v>
      </c>
      <c r="S15" s="708">
        <f>S11</f>
        <v>148590000</v>
      </c>
      <c r="T15" s="958">
        <f>IF(Q15=0,0,R15/Q15)</f>
        <v>0.65984229999999999</v>
      </c>
      <c r="U15" s="958">
        <f>IF(R15=0,0,S15/R15)</f>
        <v>0.45038034087841899</v>
      </c>
      <c r="V15" s="51"/>
      <c r="W15" s="51"/>
      <c r="X15" s="51"/>
      <c r="Y15" s="51"/>
    </row>
    <row r="16" spans="1:25" ht="38.25">
      <c r="A16" s="51"/>
      <c r="B16" s="52"/>
      <c r="C16" s="52"/>
      <c r="D16" s="56"/>
      <c r="E16" s="51"/>
      <c r="F16" s="51"/>
      <c r="G16" s="51"/>
      <c r="H16" s="51"/>
      <c r="I16" s="51"/>
      <c r="J16" s="52"/>
      <c r="K16" s="51"/>
      <c r="L16" s="958"/>
      <c r="M16" s="51"/>
      <c r="N16" s="56" t="s">
        <v>119</v>
      </c>
      <c r="O16" s="51">
        <f>COUNTIF(O11:O13,"=0%")</f>
        <v>0</v>
      </c>
      <c r="P16" s="708">
        <v>500000000</v>
      </c>
      <c r="Q16" s="708">
        <v>500000000</v>
      </c>
      <c r="R16" s="708">
        <v>329921150</v>
      </c>
      <c r="S16" s="708">
        <v>148590000</v>
      </c>
      <c r="T16" s="54"/>
      <c r="U16" s="51"/>
      <c r="V16" s="51"/>
      <c r="W16" s="51"/>
      <c r="X16" s="51"/>
      <c r="Y16" s="51"/>
    </row>
  </sheetData>
  <mergeCells count="38">
    <mergeCell ref="Y12:Y13"/>
    <mergeCell ref="A11:A13"/>
    <mergeCell ref="B11:B13"/>
    <mergeCell ref="C11:C13"/>
    <mergeCell ref="D11:D13"/>
    <mergeCell ref="O11:O13"/>
    <mergeCell ref="A1:X1"/>
    <mergeCell ref="Y5:Y6"/>
    <mergeCell ref="S5:S6"/>
    <mergeCell ref="T5:T6"/>
    <mergeCell ref="U5:U6"/>
    <mergeCell ref="V5:V6"/>
    <mergeCell ref="W5:W6"/>
    <mergeCell ref="X5:X6"/>
    <mergeCell ref="P5:P6"/>
    <mergeCell ref="Q5:Q6"/>
    <mergeCell ref="A4:Y4"/>
    <mergeCell ref="A5:A6"/>
    <mergeCell ref="B5:B6"/>
    <mergeCell ref="C5:C6"/>
    <mergeCell ref="D5:D6"/>
    <mergeCell ref="E5:E6"/>
    <mergeCell ref="F5:F6"/>
    <mergeCell ref="R5:R6"/>
    <mergeCell ref="M5:M6"/>
    <mergeCell ref="G5:G6"/>
    <mergeCell ref="H5:H6"/>
    <mergeCell ref="I5:I6"/>
    <mergeCell ref="J5:J6"/>
    <mergeCell ref="K5:K6"/>
    <mergeCell ref="L5:L6"/>
    <mergeCell ref="N5:N6"/>
    <mergeCell ref="O5:O6"/>
    <mergeCell ref="A2:Y2"/>
    <mergeCell ref="A3:B3"/>
    <mergeCell ref="C3:R3"/>
    <mergeCell ref="S3:U3"/>
    <mergeCell ref="V3:W3"/>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25"/>
  <sheetViews>
    <sheetView topLeftCell="D13" zoomScale="60" zoomScaleNormal="60" zoomScaleSheetLayoutView="100" workbookViewId="0">
      <selection activeCell="T23" sqref="T23:U23"/>
    </sheetView>
  </sheetViews>
  <sheetFormatPr baseColWidth="10" defaultColWidth="11.42578125" defaultRowHeight="16.5"/>
  <cols>
    <col min="1" max="1" width="13" style="2" customWidth="1"/>
    <col min="2" max="2" width="10.85546875" style="3" customWidth="1"/>
    <col min="3" max="3" width="8.5703125" style="2" customWidth="1"/>
    <col min="4" max="4" width="46.42578125" style="3" customWidth="1"/>
    <col min="5" max="5" width="13" style="3" customWidth="1"/>
    <col min="6" max="6" width="12.42578125" style="3" customWidth="1"/>
    <col min="7" max="7" width="18" style="3" customWidth="1"/>
    <col min="8" max="8" width="12.42578125" style="3" customWidth="1"/>
    <col min="9" max="9" width="17.7109375" style="3" customWidth="1"/>
    <col min="10" max="10" width="21.7109375" style="2" customWidth="1"/>
    <col min="11" max="12" width="13.140625" style="16" customWidth="1"/>
    <col min="13" max="13" width="12.7109375" style="16" customWidth="1"/>
    <col min="14" max="14" width="11.7109375" style="3" customWidth="1"/>
    <col min="15" max="15" width="12.7109375" style="2" customWidth="1"/>
    <col min="16" max="20" width="12.7109375" style="3" customWidth="1"/>
    <col min="21" max="23" width="10.7109375" style="3" customWidth="1"/>
    <col min="24" max="24" width="38.42578125" style="3" customWidth="1"/>
    <col min="25" max="25" width="14.140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53</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5"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7" t="s">
        <v>12</v>
      </c>
      <c r="O5" s="2837" t="s">
        <v>72</v>
      </c>
      <c r="P5" s="2839" t="s">
        <v>1</v>
      </c>
      <c r="Q5" s="2837" t="s">
        <v>13</v>
      </c>
      <c r="R5" s="2837" t="s">
        <v>14</v>
      </c>
      <c r="S5" s="2837" t="s">
        <v>16</v>
      </c>
      <c r="T5" s="2837" t="s">
        <v>15</v>
      </c>
      <c r="U5" s="2837" t="s">
        <v>89</v>
      </c>
      <c r="V5" s="2839" t="s">
        <v>6</v>
      </c>
      <c r="W5" s="2839" t="s">
        <v>7</v>
      </c>
      <c r="X5" s="2837" t="s">
        <v>0</v>
      </c>
      <c r="Y5" s="2838" t="s">
        <v>76</v>
      </c>
    </row>
    <row r="6" spans="1:25" ht="42.75" customHeight="1">
      <c r="A6" s="2881"/>
      <c r="B6" s="2881"/>
      <c r="C6" s="2881"/>
      <c r="D6" s="2881"/>
      <c r="E6" s="2881"/>
      <c r="F6" s="2881"/>
      <c r="G6" s="2881"/>
      <c r="H6" s="2881"/>
      <c r="I6" s="2881"/>
      <c r="J6" s="2881"/>
      <c r="K6" s="2881"/>
      <c r="L6" s="2881"/>
      <c r="M6" s="2883"/>
      <c r="N6" s="2882"/>
      <c r="O6" s="2882"/>
      <c r="P6" s="2884"/>
      <c r="Q6" s="2882"/>
      <c r="R6" s="2882"/>
      <c r="S6" s="2882"/>
      <c r="T6" s="2882"/>
      <c r="U6" s="2882"/>
      <c r="V6" s="2884"/>
      <c r="W6" s="2884"/>
      <c r="X6" s="2882"/>
      <c r="Y6" s="2883"/>
    </row>
    <row r="7" spans="1:25">
      <c r="A7" s="243"/>
      <c r="B7" s="959">
        <v>54</v>
      </c>
      <c r="C7" s="959" t="s">
        <v>100</v>
      </c>
      <c r="D7" s="960" t="s">
        <v>108</v>
      </c>
      <c r="E7" s="869"/>
      <c r="F7" s="246"/>
      <c r="G7" s="246"/>
      <c r="H7" s="961"/>
      <c r="I7" s="246"/>
      <c r="J7" s="246"/>
      <c r="K7" s="246"/>
      <c r="L7" s="246"/>
      <c r="M7" s="962"/>
      <c r="N7" s="245"/>
      <c r="O7" s="869"/>
      <c r="P7" s="869"/>
      <c r="Q7" s="246"/>
      <c r="R7" s="243"/>
      <c r="S7" s="243"/>
      <c r="T7" s="243"/>
      <c r="U7" s="963"/>
      <c r="V7" s="243"/>
      <c r="W7" s="243"/>
      <c r="X7" s="243"/>
      <c r="Y7" s="243"/>
    </row>
    <row r="8" spans="1:25">
      <c r="A8" s="239"/>
      <c r="B8" s="964">
        <v>5402</v>
      </c>
      <c r="C8" s="964" t="s">
        <v>101</v>
      </c>
      <c r="D8" s="965" t="s">
        <v>104</v>
      </c>
      <c r="E8" s="212"/>
      <c r="F8" s="238"/>
      <c r="G8" s="238"/>
      <c r="H8" s="423"/>
      <c r="I8" s="238"/>
      <c r="J8" s="238"/>
      <c r="K8" s="238"/>
      <c r="L8" s="238"/>
      <c r="M8" s="898"/>
      <c r="N8" s="966"/>
      <c r="O8" s="212"/>
      <c r="P8" s="967"/>
      <c r="Q8" s="968"/>
      <c r="R8" s="239"/>
      <c r="S8" s="969"/>
      <c r="T8" s="239"/>
      <c r="U8" s="970"/>
      <c r="V8" s="239"/>
      <c r="W8" s="239"/>
      <c r="X8" s="239"/>
      <c r="Y8" s="239"/>
    </row>
    <row r="9" spans="1:25">
      <c r="A9" s="239"/>
      <c r="B9" s="964">
        <v>5402001</v>
      </c>
      <c r="C9" s="964" t="s">
        <v>102</v>
      </c>
      <c r="D9" s="965" t="s">
        <v>105</v>
      </c>
      <c r="E9" s="212"/>
      <c r="F9" s="238"/>
      <c r="G9" s="238"/>
      <c r="H9" s="423"/>
      <c r="I9" s="238"/>
      <c r="J9" s="238"/>
      <c r="K9" s="238"/>
      <c r="L9" s="238"/>
      <c r="M9" s="898"/>
      <c r="N9" s="971"/>
      <c r="O9" s="972"/>
      <c r="P9" s="967"/>
      <c r="Q9" s="968"/>
      <c r="R9" s="239"/>
      <c r="S9" s="969"/>
      <c r="T9" s="239"/>
      <c r="U9" s="970"/>
      <c r="V9" s="239"/>
      <c r="W9" s="239"/>
      <c r="X9" s="239"/>
      <c r="Y9" s="239"/>
    </row>
    <row r="10" spans="1:25" ht="16.5" customHeight="1">
      <c r="A10" s="417"/>
      <c r="B10" s="973">
        <v>54020010013</v>
      </c>
      <c r="C10" s="973" t="s">
        <v>103</v>
      </c>
      <c r="D10" s="974" t="s">
        <v>505</v>
      </c>
      <c r="E10" s="212"/>
      <c r="F10" s="466">
        <v>1210</v>
      </c>
      <c r="G10" s="238"/>
      <c r="H10" s="466">
        <f>+H11</f>
        <v>677</v>
      </c>
      <c r="I10" s="238"/>
      <c r="J10" s="238"/>
      <c r="K10" s="238"/>
      <c r="L10" s="238"/>
      <c r="M10" s="898"/>
      <c r="N10" s="971"/>
      <c r="O10" s="972"/>
      <c r="P10" s="898"/>
      <c r="Q10" s="898"/>
      <c r="R10" s="898"/>
      <c r="S10" s="898"/>
      <c r="T10" s="238"/>
      <c r="U10" s="901"/>
      <c r="V10" s="238"/>
      <c r="W10" s="238"/>
      <c r="X10" s="238"/>
      <c r="Y10" s="238"/>
    </row>
    <row r="11" spans="1:25" ht="16.5" customHeight="1">
      <c r="A11" s="2823">
        <v>4124</v>
      </c>
      <c r="B11" s="2879">
        <v>36030030007</v>
      </c>
      <c r="C11" s="2877" t="s">
        <v>109</v>
      </c>
      <c r="D11" s="2874" t="s">
        <v>506</v>
      </c>
      <c r="E11" s="326" t="s">
        <v>507</v>
      </c>
      <c r="F11" s="466"/>
      <c r="G11" s="239"/>
      <c r="H11" s="326">
        <f>577+H13</f>
        <v>677</v>
      </c>
      <c r="I11" s="265"/>
      <c r="J11" s="213"/>
      <c r="K11" s="445">
        <f>960+K13</f>
        <v>1210</v>
      </c>
      <c r="L11" s="473">
        <f>L12+L13</f>
        <v>1</v>
      </c>
      <c r="M11" s="413">
        <f>577+M13</f>
        <v>677</v>
      </c>
      <c r="N11" s="897">
        <f>N12+N13</f>
        <v>0.47610000000000002</v>
      </c>
      <c r="O11" s="2880">
        <f>IF(Q11&gt;0, N11,"na")</f>
        <v>0.47610000000000002</v>
      </c>
      <c r="P11" s="445">
        <f>P13+P12</f>
        <v>128801360</v>
      </c>
      <c r="Q11" s="445">
        <f t="shared" ref="Q11:S11" si="0">Q12+Q13</f>
        <v>128801360</v>
      </c>
      <c r="R11" s="445">
        <f t="shared" si="0"/>
        <v>59961840</v>
      </c>
      <c r="S11" s="445">
        <f t="shared" si="0"/>
        <v>25898000</v>
      </c>
      <c r="T11" s="473">
        <f t="shared" ref="T11:U13" si="1">+IF(Q11=0,0,R11/Q11)</f>
        <v>0.46553732041338691</v>
      </c>
      <c r="U11" s="473">
        <f t="shared" si="1"/>
        <v>0.43190802683840257</v>
      </c>
      <c r="V11" s="975"/>
      <c r="W11" s="975"/>
      <c r="X11" s="239"/>
      <c r="Y11" s="2846" t="s">
        <v>508</v>
      </c>
    </row>
    <row r="12" spans="1:25" ht="67.5">
      <c r="A12" s="2875"/>
      <c r="B12" s="2875"/>
      <c r="C12" s="2875"/>
      <c r="D12" s="2875"/>
      <c r="E12" s="326" t="s">
        <v>509</v>
      </c>
      <c r="F12" s="976"/>
      <c r="G12" s="2828" t="s">
        <v>510</v>
      </c>
      <c r="H12" s="326">
        <v>6</v>
      </c>
      <c r="I12" s="446" t="s">
        <v>511</v>
      </c>
      <c r="J12" s="446" t="s">
        <v>512</v>
      </c>
      <c r="K12" s="417">
        <v>12</v>
      </c>
      <c r="L12" s="897">
        <v>0.76060000000000005</v>
      </c>
      <c r="M12" s="413">
        <v>6</v>
      </c>
      <c r="N12" s="897">
        <v>0.38030000000000003</v>
      </c>
      <c r="O12" s="2875"/>
      <c r="P12" s="445">
        <v>97966020</v>
      </c>
      <c r="Q12" s="445">
        <v>97966020</v>
      </c>
      <c r="R12" s="445">
        <v>41251998</v>
      </c>
      <c r="S12" s="445">
        <v>18498666</v>
      </c>
      <c r="T12" s="473">
        <f t="shared" si="1"/>
        <v>0.42108475979732563</v>
      </c>
      <c r="U12" s="473">
        <f t="shared" si="1"/>
        <v>0.4484307887341602</v>
      </c>
      <c r="V12" s="975">
        <v>45365</v>
      </c>
      <c r="W12" s="975">
        <v>45657</v>
      </c>
      <c r="X12" s="265" t="s">
        <v>4733</v>
      </c>
      <c r="Y12" s="2875"/>
    </row>
    <row r="13" spans="1:25" ht="68.45" customHeight="1">
      <c r="A13" s="2876"/>
      <c r="B13" s="2876"/>
      <c r="C13" s="2876"/>
      <c r="D13" s="2876"/>
      <c r="E13" s="326" t="s">
        <v>513</v>
      </c>
      <c r="F13" s="976"/>
      <c r="G13" s="2876"/>
      <c r="H13" s="326">
        <v>100</v>
      </c>
      <c r="I13" s="265" t="s">
        <v>514</v>
      </c>
      <c r="J13" s="213" t="s">
        <v>515</v>
      </c>
      <c r="K13" s="417">
        <v>250</v>
      </c>
      <c r="L13" s="897">
        <v>0.2394</v>
      </c>
      <c r="M13" s="413">
        <v>100</v>
      </c>
      <c r="N13" s="897">
        <v>9.5799999999999996E-2</v>
      </c>
      <c r="O13" s="2876"/>
      <c r="P13" s="445">
        <v>30835340</v>
      </c>
      <c r="Q13" s="445">
        <v>30835340</v>
      </c>
      <c r="R13" s="445">
        <v>18709842</v>
      </c>
      <c r="S13" s="445">
        <v>7399334</v>
      </c>
      <c r="T13" s="473">
        <f t="shared" si="1"/>
        <v>0.6067661974863906</v>
      </c>
      <c r="U13" s="473">
        <f t="shared" si="1"/>
        <v>0.39547816598344337</v>
      </c>
      <c r="V13" s="975">
        <v>45365</v>
      </c>
      <c r="W13" s="975">
        <v>45657</v>
      </c>
      <c r="X13" s="265" t="s">
        <v>4734</v>
      </c>
      <c r="Y13" s="2876"/>
    </row>
    <row r="14" spans="1:25" ht="25.5">
      <c r="A14" s="239"/>
      <c r="B14" s="977" t="s">
        <v>516</v>
      </c>
      <c r="C14" s="973" t="s">
        <v>103</v>
      </c>
      <c r="D14" s="978" t="s">
        <v>517</v>
      </c>
      <c r="E14" s="238"/>
      <c r="F14" s="466">
        <v>310</v>
      </c>
      <c r="G14" s="238"/>
      <c r="H14" s="326">
        <f>H15</f>
        <v>125</v>
      </c>
      <c r="I14" s="238"/>
      <c r="J14" s="238"/>
      <c r="K14" s="238"/>
      <c r="L14" s="238"/>
      <c r="M14" s="898"/>
      <c r="N14" s="475"/>
      <c r="O14" s="474"/>
      <c r="P14" s="979"/>
      <c r="Q14" s="980"/>
      <c r="R14" s="981"/>
      <c r="S14" s="981"/>
      <c r="T14" s="473"/>
      <c r="U14" s="473"/>
      <c r="V14" s="239"/>
      <c r="W14" s="239"/>
      <c r="X14" s="982"/>
      <c r="Y14" s="417"/>
    </row>
    <row r="15" spans="1:25" ht="16.5" customHeight="1">
      <c r="A15" s="2823">
        <v>4124</v>
      </c>
      <c r="B15" s="2877"/>
      <c r="C15" s="2877" t="s">
        <v>109</v>
      </c>
      <c r="D15" s="2874" t="s">
        <v>518</v>
      </c>
      <c r="E15" s="326" t="s">
        <v>519</v>
      </c>
      <c r="F15" s="983"/>
      <c r="G15" s="265"/>
      <c r="H15" s="327">
        <f>H16+H17</f>
        <v>125</v>
      </c>
      <c r="I15" s="238"/>
      <c r="J15" s="238"/>
      <c r="K15" s="445">
        <v>310</v>
      </c>
      <c r="L15" s="984">
        <f>L16+L17</f>
        <v>1</v>
      </c>
      <c r="M15" s="413">
        <f>M16</f>
        <v>125</v>
      </c>
      <c r="N15" s="985">
        <f>N16+N17</f>
        <v>0.3488</v>
      </c>
      <c r="O15" s="2878">
        <f>IF(Q15&gt;0,N15,"na")</f>
        <v>0.3488</v>
      </c>
      <c r="P15" s="445">
        <f t="shared" ref="P15:S15" si="2">P16+P17</f>
        <v>595274500</v>
      </c>
      <c r="Q15" s="445">
        <f t="shared" si="2"/>
        <v>595274500</v>
      </c>
      <c r="R15" s="445">
        <f t="shared" si="2"/>
        <v>386956000</v>
      </c>
      <c r="S15" s="445">
        <f t="shared" si="2"/>
        <v>182660000</v>
      </c>
      <c r="T15" s="473">
        <f t="shared" ref="T15:U17" si="3">+IF(Q15=0,0,R15/Q15)</f>
        <v>0.65004632316687516</v>
      </c>
      <c r="U15" s="473">
        <f t="shared" si="3"/>
        <v>0.47204333309213453</v>
      </c>
      <c r="V15" s="975"/>
      <c r="W15" s="975"/>
      <c r="X15" s="982"/>
      <c r="Y15" s="2846" t="s">
        <v>508</v>
      </c>
    </row>
    <row r="16" spans="1:25" ht="81" customHeight="1">
      <c r="A16" s="2875"/>
      <c r="B16" s="2875"/>
      <c r="C16" s="2875"/>
      <c r="D16" s="2875"/>
      <c r="E16" s="326" t="s">
        <v>520</v>
      </c>
      <c r="F16" s="986"/>
      <c r="G16" s="2828" t="s">
        <v>521</v>
      </c>
      <c r="H16" s="326">
        <v>125</v>
      </c>
      <c r="I16" s="213" t="s">
        <v>522</v>
      </c>
      <c r="J16" s="213" t="s">
        <v>523</v>
      </c>
      <c r="K16" s="445">
        <v>310</v>
      </c>
      <c r="L16" s="897">
        <v>0.83650000000000002</v>
      </c>
      <c r="M16" s="413">
        <v>125</v>
      </c>
      <c r="N16" s="985">
        <v>0.33729999999999999</v>
      </c>
      <c r="O16" s="2875"/>
      <c r="P16" s="445">
        <v>497932500</v>
      </c>
      <c r="Q16" s="445">
        <v>497932500</v>
      </c>
      <c r="R16" s="445">
        <f>114800000+253926000</f>
        <v>368726000</v>
      </c>
      <c r="S16" s="445">
        <f>49200000+133460000</f>
        <v>182660000</v>
      </c>
      <c r="T16" s="473">
        <f t="shared" si="3"/>
        <v>0.74051402549542356</v>
      </c>
      <c r="U16" s="473">
        <f t="shared" si="3"/>
        <v>0.49538139431447742</v>
      </c>
      <c r="V16" s="975">
        <v>45317</v>
      </c>
      <c r="W16" s="975">
        <v>45657</v>
      </c>
      <c r="X16" s="265" t="s">
        <v>4735</v>
      </c>
      <c r="Y16" s="2875"/>
    </row>
    <row r="17" spans="1:25" ht="81" customHeight="1">
      <c r="A17" s="2876"/>
      <c r="B17" s="2876"/>
      <c r="C17" s="2876"/>
      <c r="D17" s="2876"/>
      <c r="E17" s="326" t="s">
        <v>524</v>
      </c>
      <c r="F17" s="986"/>
      <c r="G17" s="2876"/>
      <c r="H17" s="326"/>
      <c r="I17" s="213" t="s">
        <v>525</v>
      </c>
      <c r="J17" s="213" t="s">
        <v>526</v>
      </c>
      <c r="K17" s="417">
        <v>1</v>
      </c>
      <c r="L17" s="897">
        <v>0.16350000000000001</v>
      </c>
      <c r="M17" s="413">
        <v>0</v>
      </c>
      <c r="N17" s="444">
        <v>1.15E-2</v>
      </c>
      <c r="O17" s="2876"/>
      <c r="P17" s="445">
        <v>97342000</v>
      </c>
      <c r="Q17" s="445">
        <v>97342000</v>
      </c>
      <c r="R17" s="445">
        <f>10938000+7292000</f>
        <v>18230000</v>
      </c>
      <c r="S17" s="445">
        <v>0</v>
      </c>
      <c r="T17" s="897">
        <f t="shared" si="3"/>
        <v>0.18727784512337942</v>
      </c>
      <c r="U17" s="473">
        <f t="shared" si="3"/>
        <v>0</v>
      </c>
      <c r="V17" s="975">
        <v>45460</v>
      </c>
      <c r="W17" s="975">
        <v>45657</v>
      </c>
      <c r="X17" s="265" t="s">
        <v>4736</v>
      </c>
      <c r="Y17" s="2876"/>
    </row>
    <row r="18" spans="1:25" ht="33">
      <c r="A18" s="250"/>
      <c r="B18" s="964">
        <v>5402002</v>
      </c>
      <c r="C18" s="252" t="s">
        <v>102</v>
      </c>
      <c r="D18" s="434" t="s">
        <v>527</v>
      </c>
      <c r="E18" s="238"/>
      <c r="F18" s="986"/>
      <c r="G18" s="238"/>
      <c r="H18" s="326"/>
      <c r="I18" s="238"/>
      <c r="J18" s="238"/>
      <c r="K18" s="239"/>
      <c r="L18" s="239"/>
      <c r="M18" s="969"/>
      <c r="N18" s="473"/>
      <c r="O18" s="987"/>
      <c r="P18" s="445"/>
      <c r="Q18" s="445"/>
      <c r="R18" s="988"/>
      <c r="S18" s="988"/>
      <c r="T18" s="417"/>
      <c r="U18" s="984"/>
      <c r="V18" s="417"/>
      <c r="W18" s="417"/>
      <c r="X18" s="982"/>
      <c r="Y18" s="417"/>
    </row>
    <row r="19" spans="1:25" ht="16.5" customHeight="1">
      <c r="A19" s="327"/>
      <c r="B19" s="973">
        <v>54020020019</v>
      </c>
      <c r="C19" s="973" t="s">
        <v>103</v>
      </c>
      <c r="D19" s="974" t="s">
        <v>528</v>
      </c>
      <c r="E19" s="212"/>
      <c r="F19" s="466">
        <v>2</v>
      </c>
      <c r="G19" s="238"/>
      <c r="H19" s="240"/>
      <c r="I19" s="235"/>
      <c r="J19" s="235"/>
      <c r="K19" s="238"/>
      <c r="L19" s="240"/>
      <c r="M19" s="894"/>
      <c r="N19" s="241"/>
      <c r="O19" s="989"/>
      <c r="P19" s="450"/>
      <c r="Q19" s="450"/>
      <c r="R19" s="990"/>
      <c r="S19" s="990"/>
      <c r="T19" s="238"/>
      <c r="U19" s="901"/>
      <c r="V19" s="238"/>
      <c r="W19" s="238"/>
      <c r="X19" s="991"/>
      <c r="Y19" s="238"/>
    </row>
    <row r="20" spans="1:25" ht="16.5" customHeight="1">
      <c r="A20" s="2823">
        <v>4124</v>
      </c>
      <c r="B20" s="2827"/>
      <c r="C20" s="2823" t="s">
        <v>109</v>
      </c>
      <c r="D20" s="2874" t="s">
        <v>529</v>
      </c>
      <c r="E20" s="326" t="s">
        <v>530</v>
      </c>
      <c r="F20" s="466"/>
      <c r="G20" s="417"/>
      <c r="H20" s="326">
        <f>H21</f>
        <v>0</v>
      </c>
      <c r="I20" s="417"/>
      <c r="J20" s="417"/>
      <c r="K20" s="417">
        <v>2</v>
      </c>
      <c r="L20" s="984">
        <f>L21</f>
        <v>1</v>
      </c>
      <c r="M20" s="417">
        <v>0</v>
      </c>
      <c r="N20" s="984">
        <f>N21</f>
        <v>0.5</v>
      </c>
      <c r="O20" s="2826">
        <f>IF(Q20&gt;0, N20,"na")</f>
        <v>0.5</v>
      </c>
      <c r="P20" s="445">
        <f t="shared" ref="P20:S20" si="4">P21</f>
        <v>275924140</v>
      </c>
      <c r="Q20" s="445">
        <f t="shared" si="4"/>
        <v>275924140</v>
      </c>
      <c r="R20" s="445">
        <f t="shared" si="4"/>
        <v>158656500</v>
      </c>
      <c r="S20" s="445">
        <f t="shared" si="4"/>
        <v>73072500</v>
      </c>
      <c r="T20" s="473">
        <f t="shared" ref="T20:U21" si="5">+IF(Q20=0,0,R20/Q20)</f>
        <v>0.57500043309005144</v>
      </c>
      <c r="U20" s="473">
        <f t="shared" si="5"/>
        <v>0.46057047773019072</v>
      </c>
      <c r="V20" s="992"/>
      <c r="W20" s="992"/>
      <c r="X20" s="993"/>
      <c r="Y20" s="2846" t="s">
        <v>508</v>
      </c>
    </row>
    <row r="21" spans="1:25" ht="93" customHeight="1">
      <c r="A21" s="2873"/>
      <c r="B21" s="2873"/>
      <c r="C21" s="2873"/>
      <c r="D21" s="2873"/>
      <c r="E21" s="864" t="s">
        <v>531</v>
      </c>
      <c r="F21" s="994"/>
      <c r="G21" s="865" t="s">
        <v>532</v>
      </c>
      <c r="H21" s="864">
        <v>0</v>
      </c>
      <c r="I21" s="911" t="s">
        <v>533</v>
      </c>
      <c r="J21" s="911" t="s">
        <v>534</v>
      </c>
      <c r="K21" s="995">
        <v>0</v>
      </c>
      <c r="L21" s="996">
        <v>1</v>
      </c>
      <c r="M21" s="997">
        <v>0</v>
      </c>
      <c r="N21" s="914">
        <v>0.5</v>
      </c>
      <c r="O21" s="2873"/>
      <c r="P21" s="994">
        <v>275924140</v>
      </c>
      <c r="Q21" s="994">
        <v>275924140</v>
      </c>
      <c r="R21" s="994">
        <v>158656500</v>
      </c>
      <c r="S21" s="994">
        <v>73072500</v>
      </c>
      <c r="T21" s="914">
        <f t="shared" si="5"/>
        <v>0.57500043309005144</v>
      </c>
      <c r="U21" s="914">
        <f t="shared" si="5"/>
        <v>0.46057047773019072</v>
      </c>
      <c r="V21" s="998">
        <v>45371</v>
      </c>
      <c r="W21" s="998">
        <v>45657</v>
      </c>
      <c r="X21" s="865" t="s">
        <v>4737</v>
      </c>
      <c r="Y21" s="2873"/>
    </row>
    <row r="22" spans="1:25">
      <c r="A22" s="999"/>
      <c r="B22" s="999"/>
      <c r="C22" s="1000"/>
      <c r="D22" s="1000"/>
      <c r="E22" s="1000"/>
      <c r="F22" s="1001"/>
      <c r="G22" s="1002"/>
      <c r="H22" s="1003"/>
      <c r="I22" s="1003"/>
      <c r="J22" s="1004"/>
      <c r="K22" s="1005"/>
      <c r="L22" s="1006"/>
      <c r="M22" s="1006"/>
      <c r="N22" s="521"/>
      <c r="O22" s="1007"/>
      <c r="P22" s="1006"/>
      <c r="Q22" s="1006"/>
      <c r="R22" s="1008"/>
      <c r="S22" s="1009" t="s">
        <v>535</v>
      </c>
      <c r="T22" s="1010"/>
      <c r="U22" s="1010"/>
      <c r="V22" s="1010"/>
      <c r="W22" s="1010"/>
      <c r="X22" s="1010"/>
      <c r="Y22" s="238"/>
    </row>
    <row r="23" spans="1:25">
      <c r="A23" s="1011"/>
      <c r="B23" s="1012" t="s">
        <v>36</v>
      </c>
      <c r="C23" s="879">
        <f>COUNTIF(C7:C21,"pr")</f>
        <v>3</v>
      </c>
      <c r="D23" s="238"/>
      <c r="E23" s="238" t="s">
        <v>112</v>
      </c>
      <c r="F23" s="1013"/>
      <c r="G23" s="879">
        <f>COUNTIF(M11:M21,"na")</f>
        <v>0</v>
      </c>
      <c r="H23" s="1013"/>
      <c r="I23" s="1014"/>
      <c r="J23" s="240"/>
      <c r="K23" s="1013"/>
      <c r="L23" s="1013"/>
      <c r="M23" s="1013"/>
      <c r="N23" s="879" t="s">
        <v>113</v>
      </c>
      <c r="O23" s="1015">
        <f>AVERAGE(O11:O21)</f>
        <v>0.44163333333333332</v>
      </c>
      <c r="P23" s="1016">
        <f t="shared" ref="P23:S23" si="6">+P11+P15+P20</f>
        <v>1000000000</v>
      </c>
      <c r="Q23" s="1016">
        <f t="shared" si="6"/>
        <v>1000000000</v>
      </c>
      <c r="R23" s="1016">
        <f t="shared" si="6"/>
        <v>605574340</v>
      </c>
      <c r="S23" s="1016">
        <f t="shared" si="6"/>
        <v>281630500</v>
      </c>
      <c r="T23" s="1017">
        <f t="shared" ref="T23:U23" si="7">+IF(Q23=0,0,R23/Q23)</f>
        <v>0.60557433999999999</v>
      </c>
      <c r="U23" s="1017">
        <f t="shared" si="7"/>
        <v>0.46506346355428468</v>
      </c>
      <c r="V23" s="1013"/>
      <c r="W23" s="238"/>
      <c r="X23" s="238"/>
      <c r="Y23" s="1013"/>
    </row>
    <row r="24" spans="1:25">
      <c r="A24" s="1018"/>
      <c r="B24" s="999"/>
      <c r="C24" s="1018"/>
      <c r="D24" s="1007"/>
      <c r="E24" s="999"/>
      <c r="F24" s="1019"/>
      <c r="G24" s="1019"/>
      <c r="H24" s="1000"/>
      <c r="I24" s="521"/>
      <c r="J24" s="1011"/>
      <c r="K24" s="1002"/>
      <c r="L24" s="1020" t="s">
        <v>133</v>
      </c>
      <c r="M24" s="1002"/>
      <c r="N24" s="1000"/>
      <c r="O24" s="1021">
        <f>COUNTIF(O7:O21,"=0%")</f>
        <v>0</v>
      </c>
      <c r="P24" s="1022">
        <v>1000000000</v>
      </c>
      <c r="Q24" s="1022">
        <v>1000000000</v>
      </c>
      <c r="R24" s="1022">
        <v>605574340</v>
      </c>
      <c r="S24" s="1022">
        <v>281630500</v>
      </c>
      <c r="T24" s="1000"/>
      <c r="U24" s="1000"/>
      <c r="V24" s="1023"/>
      <c r="W24" s="1012"/>
      <c r="X24" s="1012"/>
      <c r="Y24" s="238"/>
    </row>
    <row r="25" spans="1:25">
      <c r="A25" s="51"/>
      <c r="B25" s="52"/>
      <c r="C25" s="52"/>
      <c r="D25" s="56"/>
      <c r="E25" s="51"/>
      <c r="F25" s="51"/>
      <c r="G25" s="51"/>
      <c r="H25" s="51"/>
      <c r="I25" s="51"/>
      <c r="J25" s="52"/>
      <c r="K25" s="51"/>
      <c r="L25" s="51"/>
      <c r="M25" s="51"/>
      <c r="N25" s="51"/>
      <c r="O25" s="51"/>
      <c r="P25" s="51"/>
      <c r="Q25" s="51"/>
      <c r="R25" s="51"/>
      <c r="S25" s="51"/>
      <c r="T25" s="51"/>
      <c r="U25" s="51"/>
      <c r="V25" s="51"/>
      <c r="W25" s="51"/>
      <c r="X25" s="51"/>
      <c r="Y25" s="51"/>
    </row>
  </sheetData>
  <mergeCells count="52">
    <mergeCell ref="A1:X1"/>
    <mergeCell ref="P5:P6"/>
    <mergeCell ref="I5:I6"/>
    <mergeCell ref="Q5:Q6"/>
    <mergeCell ref="R5:R6"/>
    <mergeCell ref="J5:J6"/>
    <mergeCell ref="K5:K6"/>
    <mergeCell ref="L5:L6"/>
    <mergeCell ref="C5:C6"/>
    <mergeCell ref="D5:D6"/>
    <mergeCell ref="H5:H6"/>
    <mergeCell ref="O5:O6"/>
    <mergeCell ref="M5:M6"/>
    <mergeCell ref="G5:G6"/>
    <mergeCell ref="A5:A6"/>
    <mergeCell ref="B5:B6"/>
    <mergeCell ref="E5:E6"/>
    <mergeCell ref="F5:F6"/>
    <mergeCell ref="N5:N6"/>
    <mergeCell ref="A4:Y4"/>
    <mergeCell ref="A2:Y2"/>
    <mergeCell ref="A3:B3"/>
    <mergeCell ref="C3:R3"/>
    <mergeCell ref="S3:U3"/>
    <mergeCell ref="V3:W3"/>
    <mergeCell ref="Y5:Y6"/>
    <mergeCell ref="S5:S6"/>
    <mergeCell ref="T5:T6"/>
    <mergeCell ref="U5:U6"/>
    <mergeCell ref="V5:V6"/>
    <mergeCell ref="W5:W6"/>
    <mergeCell ref="X5:X6"/>
    <mergeCell ref="Y11:Y13"/>
    <mergeCell ref="G12:G13"/>
    <mergeCell ref="A15:A17"/>
    <mergeCell ref="B15:B17"/>
    <mergeCell ref="C15:C17"/>
    <mergeCell ref="D15:D17"/>
    <mergeCell ref="O15:O17"/>
    <mergeCell ref="Y15:Y17"/>
    <mergeCell ref="G16:G17"/>
    <mergeCell ref="A11:A13"/>
    <mergeCell ref="B11:B13"/>
    <mergeCell ref="C11:C13"/>
    <mergeCell ref="D11:D13"/>
    <mergeCell ref="O11:O13"/>
    <mergeCell ref="Y20:Y21"/>
    <mergeCell ref="A20:A21"/>
    <mergeCell ref="B20:B21"/>
    <mergeCell ref="C20:C21"/>
    <mergeCell ref="D20:D21"/>
    <mergeCell ref="O20:O21"/>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58"/>
  <sheetViews>
    <sheetView topLeftCell="A40" zoomScale="60" zoomScaleNormal="60" zoomScaleSheetLayoutView="100" workbookViewId="0">
      <selection activeCell="C51" sqref="C51"/>
    </sheetView>
  </sheetViews>
  <sheetFormatPr baseColWidth="10" defaultColWidth="11.42578125" defaultRowHeight="16.5"/>
  <cols>
    <col min="1" max="1" width="13.5703125" style="2" customWidth="1"/>
    <col min="2" max="2" width="10.7109375" style="3" customWidth="1"/>
    <col min="3" max="3" width="25.42578125" style="2" customWidth="1"/>
    <col min="4" max="4" width="64" style="3" customWidth="1"/>
    <col min="5" max="5" width="19" style="3" customWidth="1"/>
    <col min="6" max="6" width="10.7109375" style="3" customWidth="1"/>
    <col min="7" max="7" width="18" style="3" customWidth="1"/>
    <col min="8" max="8" width="12.42578125" style="3" customWidth="1"/>
    <col min="9" max="9" width="25.42578125" style="3" customWidth="1"/>
    <col min="10" max="10" width="17.5703125" style="2" customWidth="1"/>
    <col min="11" max="12" width="13.140625" style="16" customWidth="1"/>
    <col min="13" max="13" width="12.7109375" style="16" customWidth="1"/>
    <col min="14" max="14" width="11.7109375" style="3" customWidth="1"/>
    <col min="15" max="15" width="12.7109375" style="2" customWidth="1"/>
    <col min="16" max="16" width="16.7109375" style="3" customWidth="1"/>
    <col min="17" max="17" width="16.5703125" style="3" customWidth="1"/>
    <col min="18" max="18" width="16" style="3" customWidth="1"/>
    <col min="19" max="19" width="17.5703125" style="3" customWidth="1"/>
    <col min="20" max="20" width="13.42578125" style="3" customWidth="1"/>
    <col min="21" max="21" width="10" style="3" customWidth="1"/>
    <col min="22" max="22" width="10.7109375" style="3" customWidth="1"/>
    <col min="23" max="23" width="14" style="3" customWidth="1"/>
    <col min="24" max="24" width="47.85546875" style="3" customWidth="1"/>
    <col min="25" max="25" width="14.28515625" style="17" customWidth="1"/>
    <col min="26"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99</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5" ht="53.25" customHeight="1">
      <c r="A5" s="2905" t="s">
        <v>74</v>
      </c>
      <c r="B5" s="2905" t="s">
        <v>4</v>
      </c>
      <c r="C5" s="2905" t="s">
        <v>3</v>
      </c>
      <c r="D5" s="2905" t="s">
        <v>94</v>
      </c>
      <c r="E5" s="2905" t="s">
        <v>2</v>
      </c>
      <c r="F5" s="2905" t="s">
        <v>75</v>
      </c>
      <c r="G5" s="2905" t="s">
        <v>92</v>
      </c>
      <c r="H5" s="2905" t="s">
        <v>93</v>
      </c>
      <c r="I5" s="2905" t="s">
        <v>8</v>
      </c>
      <c r="J5" s="2905" t="s">
        <v>9</v>
      </c>
      <c r="K5" s="2905" t="s">
        <v>10</v>
      </c>
      <c r="L5" s="2905" t="s">
        <v>11</v>
      </c>
      <c r="M5" s="2904" t="s">
        <v>86</v>
      </c>
      <c r="N5" s="2906" t="s">
        <v>12</v>
      </c>
      <c r="O5" s="2906" t="s">
        <v>72</v>
      </c>
      <c r="P5" s="2907" t="s">
        <v>1</v>
      </c>
      <c r="Q5" s="2906" t="s">
        <v>13</v>
      </c>
      <c r="R5" s="2906" t="s">
        <v>14</v>
      </c>
      <c r="S5" s="2906" t="s">
        <v>16</v>
      </c>
      <c r="T5" s="2906" t="s">
        <v>15</v>
      </c>
      <c r="U5" s="2906" t="s">
        <v>89</v>
      </c>
      <c r="V5" s="2907" t="s">
        <v>6</v>
      </c>
      <c r="W5" s="2907" t="s">
        <v>7</v>
      </c>
      <c r="X5" s="2906" t="s">
        <v>0</v>
      </c>
      <c r="Y5" s="2904" t="s">
        <v>76</v>
      </c>
    </row>
    <row r="6" spans="1:25" ht="42.75" customHeight="1">
      <c r="A6" s="2881"/>
      <c r="B6" s="2881"/>
      <c r="C6" s="2881"/>
      <c r="D6" s="2881"/>
      <c r="E6" s="2881"/>
      <c r="F6" s="2881"/>
      <c r="G6" s="2881"/>
      <c r="H6" s="2881"/>
      <c r="I6" s="2881"/>
      <c r="J6" s="2881"/>
      <c r="K6" s="2881"/>
      <c r="L6" s="2881"/>
      <c r="M6" s="2883"/>
      <c r="N6" s="2882"/>
      <c r="O6" s="2882"/>
      <c r="P6" s="2884"/>
      <c r="Q6" s="2882"/>
      <c r="R6" s="2882"/>
      <c r="S6" s="2882"/>
      <c r="T6" s="2882"/>
      <c r="U6" s="2882"/>
      <c r="V6" s="2884"/>
      <c r="W6" s="2884"/>
      <c r="X6" s="2882"/>
      <c r="Y6" s="2883"/>
    </row>
    <row r="7" spans="1:25">
      <c r="A7" s="382"/>
      <c r="B7" s="383">
        <v>54</v>
      </c>
      <c r="C7" s="383" t="s">
        <v>100</v>
      </c>
      <c r="D7" s="1032" t="s">
        <v>187</v>
      </c>
      <c r="E7" s="385"/>
      <c r="F7" s="382"/>
      <c r="G7" s="382"/>
      <c r="H7" s="382"/>
      <c r="I7" s="382"/>
      <c r="J7" s="382"/>
      <c r="K7" s="386"/>
      <c r="L7" s="387"/>
      <c r="M7" s="382"/>
      <c r="N7" s="388"/>
      <c r="O7" s="389"/>
      <c r="P7" s="389"/>
      <c r="Q7" s="382"/>
      <c r="R7" s="382"/>
      <c r="S7" s="382"/>
      <c r="T7" s="390"/>
      <c r="U7" s="390"/>
      <c r="V7" s="382"/>
      <c r="W7" s="382"/>
      <c r="X7" s="382"/>
      <c r="Y7" s="1025"/>
    </row>
    <row r="8" spans="1:25">
      <c r="A8" s="382"/>
      <c r="B8" s="383">
        <v>5402</v>
      </c>
      <c r="C8" s="383" t="s">
        <v>101</v>
      </c>
      <c r="D8" s="384" t="s">
        <v>104</v>
      </c>
      <c r="E8" s="385"/>
      <c r="F8" s="382"/>
      <c r="G8" s="382"/>
      <c r="H8" s="382"/>
      <c r="I8" s="382"/>
      <c r="J8" s="382"/>
      <c r="K8" s="386"/>
      <c r="L8" s="387"/>
      <c r="M8" s="382"/>
      <c r="N8" s="388"/>
      <c r="O8" s="389"/>
      <c r="P8" s="389"/>
      <c r="Q8" s="382"/>
      <c r="R8" s="382"/>
      <c r="S8" s="382"/>
      <c r="T8" s="390"/>
      <c r="U8" s="390"/>
      <c r="V8" s="382"/>
      <c r="W8" s="382"/>
      <c r="X8" s="382"/>
      <c r="Y8" s="1026"/>
    </row>
    <row r="9" spans="1:25">
      <c r="A9" s="392"/>
      <c r="B9" s="393">
        <v>5402002</v>
      </c>
      <c r="C9" s="393" t="s">
        <v>102</v>
      </c>
      <c r="D9" s="394" t="s">
        <v>527</v>
      </c>
      <c r="E9" s="395"/>
      <c r="F9" s="392"/>
      <c r="G9" s="392"/>
      <c r="H9" s="392"/>
      <c r="I9" s="392"/>
      <c r="J9" s="392"/>
      <c r="K9" s="396"/>
      <c r="L9" s="397"/>
      <c r="M9" s="392"/>
      <c r="N9" s="398"/>
      <c r="O9" s="399"/>
      <c r="P9" s="399"/>
      <c r="Q9" s="392"/>
      <c r="R9" s="392"/>
      <c r="S9" s="392"/>
      <c r="T9" s="400"/>
      <c r="U9" s="400"/>
      <c r="V9" s="392"/>
      <c r="W9" s="392"/>
      <c r="X9" s="392"/>
      <c r="Y9" s="1026"/>
    </row>
    <row r="10" spans="1:25">
      <c r="A10" s="391"/>
      <c r="B10" s="401">
        <v>54020020018</v>
      </c>
      <c r="C10" s="401" t="s">
        <v>103</v>
      </c>
      <c r="D10" s="402" t="s">
        <v>536</v>
      </c>
      <c r="E10" s="401"/>
      <c r="F10" s="401">
        <v>1</v>
      </c>
      <c r="G10" s="401"/>
      <c r="H10" s="391"/>
      <c r="I10" s="403"/>
      <c r="J10" s="404"/>
      <c r="K10" s="405"/>
      <c r="L10" s="406"/>
      <c r="M10" s="238"/>
      <c r="N10" s="240"/>
      <c r="O10" s="238"/>
      <c r="P10" s="238"/>
      <c r="Q10" s="238"/>
      <c r="R10" s="238"/>
      <c r="S10" s="238"/>
      <c r="T10" s="407"/>
      <c r="U10" s="407"/>
      <c r="V10" s="238"/>
      <c r="W10" s="238"/>
      <c r="X10" s="238"/>
      <c r="Y10" s="1027"/>
    </row>
    <row r="11" spans="1:25" ht="16.5" customHeight="1">
      <c r="A11" s="2901">
        <v>4131</v>
      </c>
      <c r="B11" s="2888"/>
      <c r="C11" s="2888" t="s">
        <v>109</v>
      </c>
      <c r="D11" s="2903" t="s">
        <v>537</v>
      </c>
      <c r="E11" s="408" t="s">
        <v>538</v>
      </c>
      <c r="F11" s="410"/>
      <c r="G11" s="213"/>
      <c r="H11" s="466">
        <f>H16</f>
        <v>1</v>
      </c>
      <c r="I11" s="265"/>
      <c r="J11" s="265"/>
      <c r="K11" s="412">
        <f>+K16</f>
        <v>1</v>
      </c>
      <c r="L11" s="214">
        <f>SUM(L12:L17)</f>
        <v>0.99999999999999989</v>
      </c>
      <c r="M11" s="413">
        <f>M16</f>
        <v>0</v>
      </c>
      <c r="N11" s="1033">
        <f>SUM(N12:N17)</f>
        <v>0.47499999999999998</v>
      </c>
      <c r="O11" s="2900">
        <f>IF(Q11&gt;0,N11,"na")</f>
        <v>0.47499999999999998</v>
      </c>
      <c r="P11" s="414">
        <f t="shared" ref="P11:S11" si="0">SUM(P12:P17)</f>
        <v>1316696139</v>
      </c>
      <c r="Q11" s="414">
        <f t="shared" si="0"/>
        <v>3040704222</v>
      </c>
      <c r="R11" s="414">
        <f t="shared" si="0"/>
        <v>594562800</v>
      </c>
      <c r="S11" s="414">
        <f t="shared" si="0"/>
        <v>342586800</v>
      </c>
      <c r="T11" s="897">
        <f t="shared" ref="T11:U17" si="1">IF(Q11=0,0,R11/Q11)</f>
        <v>0.19553457245142075</v>
      </c>
      <c r="U11" s="897">
        <f t="shared" si="1"/>
        <v>0.57619952005069941</v>
      </c>
      <c r="V11" s="415">
        <v>45309</v>
      </c>
      <c r="W11" s="416">
        <v>45656</v>
      </c>
      <c r="X11" s="417"/>
      <c r="Y11" s="1028"/>
    </row>
    <row r="12" spans="1:25" ht="162" customHeight="1">
      <c r="A12" s="2901"/>
      <c r="B12" s="2888"/>
      <c r="C12" s="2890"/>
      <c r="D12" s="2890"/>
      <c r="E12" s="408" t="s">
        <v>539</v>
      </c>
      <c r="F12" s="410"/>
      <c r="G12" s="213"/>
      <c r="H12" s="422"/>
      <c r="I12" s="265" t="s">
        <v>540</v>
      </c>
      <c r="J12" s="265" t="s">
        <v>541</v>
      </c>
      <c r="K12" s="419">
        <v>6</v>
      </c>
      <c r="L12" s="214">
        <v>0.15</v>
      </c>
      <c r="M12" s="413"/>
      <c r="N12" s="1033">
        <v>6.25E-2</v>
      </c>
      <c r="O12" s="2890"/>
      <c r="P12" s="412">
        <v>488591872</v>
      </c>
      <c r="Q12" s="412">
        <v>665585899</v>
      </c>
      <c r="R12" s="412">
        <v>138328000</v>
      </c>
      <c r="S12" s="412">
        <v>38328000</v>
      </c>
      <c r="T12" s="897">
        <f t="shared" si="1"/>
        <v>0.20782892216891752</v>
      </c>
      <c r="U12" s="897">
        <f t="shared" si="1"/>
        <v>0.27708056214215487</v>
      </c>
      <c r="V12" s="416">
        <v>45340</v>
      </c>
      <c r="W12" s="416">
        <v>45656</v>
      </c>
      <c r="X12" s="1035" t="s">
        <v>4738</v>
      </c>
      <c r="Y12" s="2885" t="s">
        <v>542</v>
      </c>
    </row>
    <row r="13" spans="1:25" ht="162" customHeight="1">
      <c r="A13" s="2901"/>
      <c r="B13" s="2888"/>
      <c r="C13" s="2890"/>
      <c r="D13" s="2890"/>
      <c r="E13" s="408" t="s">
        <v>543</v>
      </c>
      <c r="F13" s="418"/>
      <c r="G13" s="213"/>
      <c r="H13" s="422"/>
      <c r="I13" s="265" t="s">
        <v>544</v>
      </c>
      <c r="J13" s="265" t="s">
        <v>545</v>
      </c>
      <c r="K13" s="419">
        <v>1</v>
      </c>
      <c r="L13" s="214">
        <v>0.15</v>
      </c>
      <c r="M13" s="413"/>
      <c r="N13" s="1033">
        <v>7.4999999999999997E-2</v>
      </c>
      <c r="O13" s="2890"/>
      <c r="P13" s="412">
        <v>323262223</v>
      </c>
      <c r="Q13" s="412">
        <v>381479000</v>
      </c>
      <c r="R13" s="412">
        <v>267571400</v>
      </c>
      <c r="S13" s="412">
        <v>178803400</v>
      </c>
      <c r="T13" s="897">
        <f t="shared" si="1"/>
        <v>0.7014053198210124</v>
      </c>
      <c r="U13" s="897">
        <f t="shared" si="1"/>
        <v>0.66824555987672818</v>
      </c>
      <c r="V13" s="416">
        <v>45309</v>
      </c>
      <c r="W13" s="420">
        <v>45656</v>
      </c>
      <c r="X13" s="1035" t="s">
        <v>4739</v>
      </c>
      <c r="Y13" s="2886"/>
    </row>
    <row r="14" spans="1:25" ht="40.5" customHeight="1">
      <c r="A14" s="2901"/>
      <c r="B14" s="2888"/>
      <c r="C14" s="2890"/>
      <c r="D14" s="2890"/>
      <c r="E14" s="408" t="s">
        <v>546</v>
      </c>
      <c r="F14" s="418"/>
      <c r="G14" s="213"/>
      <c r="H14" s="422"/>
      <c r="I14" s="265" t="s">
        <v>547</v>
      </c>
      <c r="J14" s="265" t="s">
        <v>548</v>
      </c>
      <c r="K14" s="419">
        <v>1</v>
      </c>
      <c r="L14" s="214">
        <v>0.2</v>
      </c>
      <c r="M14" s="413"/>
      <c r="N14" s="421"/>
      <c r="O14" s="2890"/>
      <c r="P14" s="412">
        <v>237294707</v>
      </c>
      <c r="Q14" s="412">
        <v>237294707</v>
      </c>
      <c r="R14" s="412">
        <v>0</v>
      </c>
      <c r="S14" s="412">
        <v>0</v>
      </c>
      <c r="T14" s="897">
        <f t="shared" si="1"/>
        <v>0</v>
      </c>
      <c r="U14" s="897">
        <f t="shared" si="1"/>
        <v>0</v>
      </c>
      <c r="V14" s="416"/>
      <c r="W14" s="420"/>
      <c r="X14" s="213"/>
      <c r="Y14" s="2886"/>
    </row>
    <row r="15" spans="1:25" ht="121.5" customHeight="1">
      <c r="A15" s="2901"/>
      <c r="B15" s="2888"/>
      <c r="C15" s="2890"/>
      <c r="D15" s="2890"/>
      <c r="E15" s="408" t="s">
        <v>549</v>
      </c>
      <c r="F15" s="418"/>
      <c r="G15" s="213"/>
      <c r="H15" s="422"/>
      <c r="I15" s="265" t="s">
        <v>550</v>
      </c>
      <c r="J15" s="265" t="s">
        <v>551</v>
      </c>
      <c r="K15" s="419">
        <v>2100</v>
      </c>
      <c r="L15" s="214">
        <v>0.2</v>
      </c>
      <c r="M15" s="413">
        <v>2100</v>
      </c>
      <c r="N15" s="1033">
        <v>0.2</v>
      </c>
      <c r="O15" s="2890"/>
      <c r="P15" s="412">
        <v>130346125</v>
      </c>
      <c r="Q15" s="412">
        <v>1571636972</v>
      </c>
      <c r="R15" s="412">
        <v>108382167</v>
      </c>
      <c r="S15" s="412">
        <v>77510167</v>
      </c>
      <c r="T15" s="897">
        <f t="shared" si="1"/>
        <v>6.8961324358561851E-2</v>
      </c>
      <c r="U15" s="897">
        <f t="shared" si="1"/>
        <v>0.71515609205340946</v>
      </c>
      <c r="V15" s="416">
        <v>45309</v>
      </c>
      <c r="W15" s="420">
        <v>45656</v>
      </c>
      <c r="X15" s="1036" t="s">
        <v>4740</v>
      </c>
      <c r="Y15" s="2886"/>
    </row>
    <row r="16" spans="1:25" ht="81" customHeight="1">
      <c r="A16" s="2901"/>
      <c r="B16" s="2888"/>
      <c r="C16" s="2890"/>
      <c r="D16" s="2890"/>
      <c r="E16" s="408" t="s">
        <v>552</v>
      </c>
      <c r="F16" s="418"/>
      <c r="G16" s="265" t="s">
        <v>536</v>
      </c>
      <c r="H16" s="422">
        <v>1</v>
      </c>
      <c r="I16" s="265" t="s">
        <v>553</v>
      </c>
      <c r="J16" s="265" t="s">
        <v>237</v>
      </c>
      <c r="K16" s="412">
        <v>1</v>
      </c>
      <c r="L16" s="214">
        <v>0.2</v>
      </c>
      <c r="M16" s="413"/>
      <c r="N16" s="1033">
        <v>0.1</v>
      </c>
      <c r="O16" s="2890"/>
      <c r="P16" s="412">
        <v>71171247</v>
      </c>
      <c r="Q16" s="422">
        <v>118677679</v>
      </c>
      <c r="R16" s="412">
        <v>53653233</v>
      </c>
      <c r="S16" s="412">
        <v>39069233</v>
      </c>
      <c r="T16" s="897">
        <f t="shared" si="1"/>
        <v>0.45209203156054306</v>
      </c>
      <c r="U16" s="897">
        <f t="shared" si="1"/>
        <v>0.72818040620217606</v>
      </c>
      <c r="V16" s="416">
        <v>45309</v>
      </c>
      <c r="W16" s="420">
        <v>45656</v>
      </c>
      <c r="X16" s="1035" t="s">
        <v>4741</v>
      </c>
      <c r="Y16" s="2886"/>
    </row>
    <row r="17" spans="1:25" ht="54">
      <c r="A17" s="2901"/>
      <c r="B17" s="2888"/>
      <c r="C17" s="2890"/>
      <c r="D17" s="2890"/>
      <c r="E17" s="408" t="s">
        <v>554</v>
      </c>
      <c r="F17" s="418"/>
      <c r="G17" s="213"/>
      <c r="H17" s="422"/>
      <c r="I17" s="265" t="s">
        <v>555</v>
      </c>
      <c r="J17" s="265" t="s">
        <v>241</v>
      </c>
      <c r="K17" s="423">
        <v>1</v>
      </c>
      <c r="L17" s="214">
        <v>0.1</v>
      </c>
      <c r="M17" s="413"/>
      <c r="N17" s="1033">
        <v>3.7499999999999999E-2</v>
      </c>
      <c r="O17" s="2890"/>
      <c r="P17" s="412">
        <v>66029965</v>
      </c>
      <c r="Q17" s="412">
        <v>66029965</v>
      </c>
      <c r="R17" s="412">
        <v>26628000</v>
      </c>
      <c r="S17" s="412">
        <v>8876000</v>
      </c>
      <c r="T17" s="897">
        <f t="shared" si="1"/>
        <v>0.40327145410420862</v>
      </c>
      <c r="U17" s="897">
        <f t="shared" si="1"/>
        <v>0.33333333333333331</v>
      </c>
      <c r="V17" s="416">
        <v>45397</v>
      </c>
      <c r="W17" s="234">
        <v>45656</v>
      </c>
      <c r="X17" s="1035" t="s">
        <v>4742</v>
      </c>
      <c r="Y17" s="2887"/>
    </row>
    <row r="18" spans="1:25">
      <c r="A18" s="424"/>
      <c r="B18" s="401">
        <v>54020020021</v>
      </c>
      <c r="C18" s="425" t="s">
        <v>103</v>
      </c>
      <c r="D18" s="402" t="s">
        <v>556</v>
      </c>
      <c r="E18" s="404"/>
      <c r="F18" s="426">
        <v>1</v>
      </c>
      <c r="G18" s="212"/>
      <c r="H18" s="212"/>
      <c r="I18" s="235"/>
      <c r="J18" s="235"/>
      <c r="K18" s="236"/>
      <c r="L18" s="236"/>
      <c r="M18" s="237"/>
      <c r="N18" s="212"/>
      <c r="O18" s="212"/>
      <c r="P18" s="238"/>
      <c r="Q18" s="1037"/>
      <c r="R18" s="1037"/>
      <c r="S18" s="1037"/>
      <c r="T18" s="407"/>
      <c r="U18" s="407"/>
      <c r="V18" s="238"/>
      <c r="W18" s="238"/>
      <c r="X18" s="238"/>
      <c r="Y18" s="1027"/>
    </row>
    <row r="19" spans="1:25" ht="16.5" customHeight="1">
      <c r="A19" s="2888">
        <v>4131</v>
      </c>
      <c r="B19" s="2902"/>
      <c r="C19" s="2902" t="s">
        <v>109</v>
      </c>
      <c r="D19" s="2903" t="s">
        <v>557</v>
      </c>
      <c r="E19" s="409" t="s">
        <v>558</v>
      </c>
      <c r="F19" s="427"/>
      <c r="G19" s="327"/>
      <c r="H19" s="327">
        <f>SUM(H20)</f>
        <v>1</v>
      </c>
      <c r="I19" s="265"/>
      <c r="J19" s="265"/>
      <c r="K19" s="419"/>
      <c r="L19" s="428">
        <f t="shared" ref="L19:N19" si="2">SUM(L20:L21)</f>
        <v>1</v>
      </c>
      <c r="M19" s="428">
        <f t="shared" si="2"/>
        <v>0</v>
      </c>
      <c r="N19" s="1033">
        <f t="shared" si="2"/>
        <v>0.47</v>
      </c>
      <c r="O19" s="2897">
        <f>IF(Q19&gt;0,N19,"na")</f>
        <v>0.47</v>
      </c>
      <c r="P19" s="414">
        <f t="shared" ref="P19:S19" si="3">SUM(P20:P21)</f>
        <v>229983667</v>
      </c>
      <c r="Q19" s="414">
        <f t="shared" si="3"/>
        <v>229983667</v>
      </c>
      <c r="R19" s="412">
        <f t="shared" si="3"/>
        <v>177380000</v>
      </c>
      <c r="S19" s="412">
        <f t="shared" si="3"/>
        <v>106428000</v>
      </c>
      <c r="T19" s="897">
        <f t="shared" ref="T19:U21" si="4">IF(Q19=0,0,R19/Q19)</f>
        <v>0.77127216168789936</v>
      </c>
      <c r="U19" s="897">
        <f t="shared" si="4"/>
        <v>0.6</v>
      </c>
      <c r="V19" s="265"/>
      <c r="W19" s="265"/>
      <c r="X19" s="265"/>
      <c r="Y19" s="1028"/>
    </row>
    <row r="20" spans="1:25" ht="175.5" customHeight="1">
      <c r="A20" s="2890"/>
      <c r="B20" s="2890"/>
      <c r="C20" s="2890"/>
      <c r="D20" s="2890"/>
      <c r="E20" s="409" t="s">
        <v>559</v>
      </c>
      <c r="F20" s="409"/>
      <c r="G20" s="213" t="s">
        <v>560</v>
      </c>
      <c r="H20" s="326">
        <v>1</v>
      </c>
      <c r="I20" s="265" t="s">
        <v>561</v>
      </c>
      <c r="J20" s="265" t="s">
        <v>124</v>
      </c>
      <c r="K20" s="423">
        <v>1</v>
      </c>
      <c r="L20" s="428">
        <v>0.5</v>
      </c>
      <c r="M20" s="419"/>
      <c r="N20" s="1038">
        <v>0.22</v>
      </c>
      <c r="O20" s="2890"/>
      <c r="P20" s="412">
        <v>134847967</v>
      </c>
      <c r="Q20" s="412">
        <v>134847967</v>
      </c>
      <c r="R20" s="412">
        <v>101206000</v>
      </c>
      <c r="S20" s="412">
        <v>72290000</v>
      </c>
      <c r="T20" s="897">
        <f t="shared" si="4"/>
        <v>0.75051928665709877</v>
      </c>
      <c r="U20" s="897">
        <f t="shared" si="4"/>
        <v>0.7142857142857143</v>
      </c>
      <c r="V20" s="416">
        <v>45307</v>
      </c>
      <c r="W20" s="420">
        <v>45657</v>
      </c>
      <c r="X20" s="213" t="s">
        <v>4743</v>
      </c>
      <c r="Y20" s="2892" t="s">
        <v>562</v>
      </c>
    </row>
    <row r="21" spans="1:25" ht="115.15" customHeight="1">
      <c r="A21" s="2890"/>
      <c r="B21" s="2890"/>
      <c r="C21" s="2890"/>
      <c r="D21" s="2890"/>
      <c r="E21" s="409" t="s">
        <v>563</v>
      </c>
      <c r="F21" s="408"/>
      <c r="G21" s="326"/>
      <c r="H21" s="327"/>
      <c r="I21" s="265" t="s">
        <v>564</v>
      </c>
      <c r="J21" s="265" t="s">
        <v>125</v>
      </c>
      <c r="K21" s="423">
        <v>1</v>
      </c>
      <c r="L21" s="429">
        <v>0.5</v>
      </c>
      <c r="M21" s="423"/>
      <c r="N21" s="1038">
        <v>0.25</v>
      </c>
      <c r="O21" s="2890"/>
      <c r="P21" s="412">
        <v>95135700</v>
      </c>
      <c r="Q21" s="412">
        <v>95135700</v>
      </c>
      <c r="R21" s="412">
        <v>76174000</v>
      </c>
      <c r="S21" s="412">
        <v>34138000</v>
      </c>
      <c r="T21" s="897">
        <f t="shared" si="4"/>
        <v>0.80068785955219757</v>
      </c>
      <c r="U21" s="897">
        <f t="shared" si="4"/>
        <v>0.44815816420300891</v>
      </c>
      <c r="V21" s="416">
        <v>45307</v>
      </c>
      <c r="W21" s="420">
        <v>45657</v>
      </c>
      <c r="X21" s="213" t="s">
        <v>4744</v>
      </c>
      <c r="Y21" s="2887"/>
    </row>
    <row r="22" spans="1:25">
      <c r="A22" s="392"/>
      <c r="B22" s="393">
        <v>5402004</v>
      </c>
      <c r="C22" s="393" t="s">
        <v>102</v>
      </c>
      <c r="D22" s="394" t="s">
        <v>565</v>
      </c>
      <c r="E22" s="395"/>
      <c r="F22" s="392"/>
      <c r="G22" s="239"/>
      <c r="H22" s="239"/>
      <c r="I22" s="239"/>
      <c r="J22" s="239"/>
      <c r="K22" s="430"/>
      <c r="L22" s="431"/>
      <c r="M22" s="239"/>
      <c r="N22" s="432"/>
      <c r="O22" s="433"/>
      <c r="P22" s="434"/>
      <c r="Q22" s="239"/>
      <c r="R22" s="239"/>
      <c r="S22" s="239"/>
      <c r="T22" s="1039"/>
      <c r="U22" s="1039"/>
      <c r="V22" s="239"/>
      <c r="W22" s="239"/>
      <c r="X22" s="239"/>
      <c r="Y22" s="1027"/>
    </row>
    <row r="23" spans="1:25" ht="25.5" customHeight="1">
      <c r="A23" s="435"/>
      <c r="B23" s="401">
        <v>54020040001</v>
      </c>
      <c r="C23" s="436" t="s">
        <v>103</v>
      </c>
      <c r="D23" s="402" t="s">
        <v>566</v>
      </c>
      <c r="E23" s="436"/>
      <c r="F23" s="437">
        <v>316053</v>
      </c>
      <c r="G23" s="442"/>
      <c r="H23" s="467"/>
      <c r="I23" s="442"/>
      <c r="J23" s="1040"/>
      <c r="K23" s="438"/>
      <c r="L23" s="439"/>
      <c r="M23" s="440"/>
      <c r="N23" s="441"/>
      <c r="O23" s="441"/>
      <c r="P23" s="442"/>
      <c r="Q23" s="442"/>
      <c r="R23" s="442"/>
      <c r="S23" s="442"/>
      <c r="T23" s="1041"/>
      <c r="U23" s="1041"/>
      <c r="V23" s="443"/>
      <c r="W23" s="443"/>
      <c r="X23" s="442"/>
      <c r="Y23" s="1029"/>
    </row>
    <row r="24" spans="1:25" ht="16.5" customHeight="1">
      <c r="A24" s="2888">
        <v>4131</v>
      </c>
      <c r="B24" s="2888"/>
      <c r="C24" s="2888" t="s">
        <v>109</v>
      </c>
      <c r="D24" s="2901" t="s">
        <v>567</v>
      </c>
      <c r="E24" s="408" t="s">
        <v>568</v>
      </c>
      <c r="F24" s="418"/>
      <c r="G24" s="417"/>
      <c r="H24" s="466">
        <v>25492.57242</v>
      </c>
      <c r="I24" s="417"/>
      <c r="J24" s="326"/>
      <c r="K24" s="423"/>
      <c r="L24" s="444">
        <f>SUM(L25:L26)</f>
        <v>1</v>
      </c>
      <c r="M24" s="421">
        <f>M25</f>
        <v>0</v>
      </c>
      <c r="N24" s="1034">
        <f>SUM(N25:N26)</f>
        <v>0.42499999999999999</v>
      </c>
      <c r="O24" s="2897">
        <f>IF(Q24&gt;0,N24,"na")</f>
        <v>0.42499999999999999</v>
      </c>
      <c r="P24" s="445">
        <f t="shared" ref="P24:S24" si="5">SUM(P25:P26)</f>
        <v>3210313695</v>
      </c>
      <c r="Q24" s="445">
        <f t="shared" si="5"/>
        <v>6974321777</v>
      </c>
      <c r="R24" s="445">
        <f t="shared" si="5"/>
        <v>5233503331</v>
      </c>
      <c r="S24" s="445">
        <f t="shared" si="5"/>
        <v>2604785331</v>
      </c>
      <c r="T24" s="897">
        <f t="shared" ref="T24:U26" si="6">IF(Q24=0,0,R24/Q24)</f>
        <v>0.75039602392007621</v>
      </c>
      <c r="U24" s="897">
        <f t="shared" si="6"/>
        <v>0.49771351354089738</v>
      </c>
      <c r="V24" s="416"/>
      <c r="W24" s="420"/>
      <c r="X24" s="417"/>
      <c r="Y24" s="1030"/>
    </row>
    <row r="25" spans="1:25" ht="94.5" customHeight="1">
      <c r="A25" s="2888"/>
      <c r="B25" s="2888"/>
      <c r="C25" s="2890"/>
      <c r="D25" s="2890"/>
      <c r="E25" s="408" t="s">
        <v>569</v>
      </c>
      <c r="F25" s="409"/>
      <c r="G25" s="265" t="s">
        <v>566</v>
      </c>
      <c r="H25" s="466">
        <f>H24</f>
        <v>25492.57242</v>
      </c>
      <c r="I25" s="265" t="s">
        <v>570</v>
      </c>
      <c r="J25" s="265" t="s">
        <v>571</v>
      </c>
      <c r="K25" s="412">
        <v>1</v>
      </c>
      <c r="L25" s="444">
        <v>0.5</v>
      </c>
      <c r="M25" s="412">
        <v>0</v>
      </c>
      <c r="N25" s="1034">
        <v>0.17499999999999999</v>
      </c>
      <c r="O25" s="2890"/>
      <c r="P25" s="412">
        <v>64513400</v>
      </c>
      <c r="Q25" s="412">
        <v>1509892082</v>
      </c>
      <c r="R25" s="412">
        <v>139142500</v>
      </c>
      <c r="S25" s="412">
        <v>70643000</v>
      </c>
      <c r="T25" s="897">
        <f t="shared" si="6"/>
        <v>9.2153937131514804E-2</v>
      </c>
      <c r="U25" s="1042">
        <f t="shared" si="6"/>
        <v>0.50770253517077812</v>
      </c>
      <c r="V25" s="416">
        <v>45306</v>
      </c>
      <c r="W25" s="416">
        <v>45657</v>
      </c>
      <c r="X25" s="213" t="s">
        <v>4745</v>
      </c>
      <c r="Y25" s="2885" t="s">
        <v>572</v>
      </c>
    </row>
    <row r="26" spans="1:25" ht="54" customHeight="1">
      <c r="A26" s="2888"/>
      <c r="B26" s="2888"/>
      <c r="C26" s="2890"/>
      <c r="D26" s="2890"/>
      <c r="E26" s="408" t="s">
        <v>573</v>
      </c>
      <c r="F26" s="409"/>
      <c r="G26" s="417"/>
      <c r="H26" s="466"/>
      <c r="I26" s="265" t="s">
        <v>442</v>
      </c>
      <c r="J26" s="265" t="s">
        <v>125</v>
      </c>
      <c r="K26" s="412">
        <v>1</v>
      </c>
      <c r="L26" s="444">
        <v>0.5</v>
      </c>
      <c r="M26" s="412">
        <v>0</v>
      </c>
      <c r="N26" s="1034">
        <v>0.25</v>
      </c>
      <c r="O26" s="2890"/>
      <c r="P26" s="412">
        <v>3145800295</v>
      </c>
      <c r="Q26" s="412">
        <v>5464429695</v>
      </c>
      <c r="R26" s="412">
        <v>5094360831</v>
      </c>
      <c r="S26" s="412">
        <v>2534142331</v>
      </c>
      <c r="T26" s="897">
        <f t="shared" si="6"/>
        <v>0.93227676360469669</v>
      </c>
      <c r="U26" s="1042">
        <f t="shared" si="6"/>
        <v>0.49744068295660149</v>
      </c>
      <c r="V26" s="416">
        <v>45306</v>
      </c>
      <c r="W26" s="416">
        <v>45657</v>
      </c>
      <c r="X26" s="446" t="s">
        <v>574</v>
      </c>
      <c r="Y26" s="2887"/>
    </row>
    <row r="27" spans="1:25" ht="25.5">
      <c r="A27" s="401"/>
      <c r="B27" s="401">
        <v>54020040002</v>
      </c>
      <c r="C27" s="401" t="s">
        <v>103</v>
      </c>
      <c r="D27" s="402" t="s">
        <v>575</v>
      </c>
      <c r="E27" s="401"/>
      <c r="F27" s="447">
        <v>2849857</v>
      </c>
      <c r="G27" s="238"/>
      <c r="H27" s="240"/>
      <c r="I27" s="238"/>
      <c r="J27" s="240"/>
      <c r="K27" s="405"/>
      <c r="L27" s="448"/>
      <c r="M27" s="241"/>
      <c r="N27" s="1043"/>
      <c r="O27" s="449"/>
      <c r="P27" s="237"/>
      <c r="Q27" s="237"/>
      <c r="R27" s="450"/>
      <c r="S27" s="237"/>
      <c r="T27" s="407"/>
      <c r="U27" s="407"/>
      <c r="V27" s="451"/>
      <c r="W27" s="451"/>
      <c r="X27" s="238"/>
      <c r="Y27" s="1028"/>
    </row>
    <row r="28" spans="1:25">
      <c r="A28" s="2888">
        <v>4131</v>
      </c>
      <c r="B28" s="409"/>
      <c r="C28" s="2888" t="s">
        <v>109</v>
      </c>
      <c r="D28" s="2903" t="s">
        <v>576</v>
      </c>
      <c r="E28" s="408" t="s">
        <v>577</v>
      </c>
      <c r="F28" s="418"/>
      <c r="G28" s="213"/>
      <c r="H28" s="422">
        <v>1179492.15441</v>
      </c>
      <c r="I28" s="417"/>
      <c r="J28" s="326"/>
      <c r="K28" s="423"/>
      <c r="L28" s="444">
        <f>SUM(L29:L30)</f>
        <v>1</v>
      </c>
      <c r="M28" s="452">
        <f>M29</f>
        <v>0</v>
      </c>
      <c r="N28" s="1034">
        <f>N30+N29</f>
        <v>0.38</v>
      </c>
      <c r="O28" s="2900">
        <f>IF(Q28&gt;0,N28,"na")</f>
        <v>0.38</v>
      </c>
      <c r="P28" s="414">
        <f t="shared" ref="P28:S28" si="7">SUM(P29:P30)</f>
        <v>4135946143</v>
      </c>
      <c r="Q28" s="414">
        <f t="shared" si="7"/>
        <v>5795946143</v>
      </c>
      <c r="R28" s="414">
        <f t="shared" si="7"/>
        <v>4646362401</v>
      </c>
      <c r="S28" s="414">
        <f t="shared" si="7"/>
        <v>2557020901</v>
      </c>
      <c r="T28" s="897">
        <f t="shared" ref="T28:U30" si="8">IF(Q28=0,0,R28/Q28)</f>
        <v>0.80165727671772813</v>
      </c>
      <c r="U28" s="1044">
        <f t="shared" si="8"/>
        <v>0.55032747778125801</v>
      </c>
      <c r="V28" s="453"/>
      <c r="W28" s="453"/>
      <c r="X28" s="213"/>
      <c r="Y28" s="1030"/>
    </row>
    <row r="29" spans="1:25" ht="108" customHeight="1">
      <c r="A29" s="2888"/>
      <c r="B29" s="424"/>
      <c r="C29" s="2890"/>
      <c r="D29" s="2890"/>
      <c r="E29" s="408" t="s">
        <v>578</v>
      </c>
      <c r="F29" s="409"/>
      <c r="G29" s="265" t="s">
        <v>575</v>
      </c>
      <c r="H29" s="466">
        <f>H28</f>
        <v>1179492.15441</v>
      </c>
      <c r="I29" s="265" t="s">
        <v>579</v>
      </c>
      <c r="J29" s="265" t="s">
        <v>580</v>
      </c>
      <c r="K29" s="419">
        <v>1</v>
      </c>
      <c r="L29" s="444">
        <v>0.4</v>
      </c>
      <c r="M29" s="412">
        <v>0</v>
      </c>
      <c r="N29" s="1034">
        <v>0.14000000000000001</v>
      </c>
      <c r="O29" s="2890"/>
      <c r="P29" s="412">
        <v>965154060</v>
      </c>
      <c r="Q29" s="412">
        <v>1152036000</v>
      </c>
      <c r="R29" s="412">
        <v>851927867</v>
      </c>
      <c r="S29" s="412">
        <v>420128867</v>
      </c>
      <c r="T29" s="897">
        <f t="shared" si="8"/>
        <v>0.73949760858167624</v>
      </c>
      <c r="U29" s="897">
        <f t="shared" si="8"/>
        <v>0.49315075052005547</v>
      </c>
      <c r="V29" s="416">
        <v>45306</v>
      </c>
      <c r="W29" s="416">
        <v>45657</v>
      </c>
      <c r="X29" s="213" t="s">
        <v>4746</v>
      </c>
      <c r="Y29" s="2892" t="s">
        <v>572</v>
      </c>
    </row>
    <row r="30" spans="1:25" ht="59.45" customHeight="1">
      <c r="A30" s="2888"/>
      <c r="B30" s="424"/>
      <c r="C30" s="2890"/>
      <c r="D30" s="2890"/>
      <c r="E30" s="408" t="s">
        <v>581</v>
      </c>
      <c r="F30" s="409"/>
      <c r="G30" s="417"/>
      <c r="H30" s="327"/>
      <c r="I30" s="265" t="s">
        <v>442</v>
      </c>
      <c r="J30" s="265" t="s">
        <v>125</v>
      </c>
      <c r="K30" s="419">
        <v>1</v>
      </c>
      <c r="L30" s="444">
        <v>0.6</v>
      </c>
      <c r="M30" s="412">
        <v>0</v>
      </c>
      <c r="N30" s="1034">
        <v>0.24</v>
      </c>
      <c r="O30" s="2890"/>
      <c r="P30" s="412">
        <v>3170792083</v>
      </c>
      <c r="Q30" s="412">
        <v>4643910143</v>
      </c>
      <c r="R30" s="412">
        <v>3794434534</v>
      </c>
      <c r="S30" s="412">
        <v>2136892034</v>
      </c>
      <c r="T30" s="897">
        <f t="shared" si="8"/>
        <v>0.81707750950339608</v>
      </c>
      <c r="U30" s="897">
        <f t="shared" si="8"/>
        <v>0.56316481806508878</v>
      </c>
      <c r="V30" s="416">
        <v>45306</v>
      </c>
      <c r="W30" s="416">
        <v>45657</v>
      </c>
      <c r="X30" s="446" t="s">
        <v>582</v>
      </c>
      <c r="Y30" s="2887"/>
    </row>
    <row r="31" spans="1:25" ht="38.25">
      <c r="A31" s="454"/>
      <c r="B31" s="455">
        <v>54020040003</v>
      </c>
      <c r="C31" s="455" t="s">
        <v>103</v>
      </c>
      <c r="D31" s="403" t="s">
        <v>4747</v>
      </c>
      <c r="E31" s="456"/>
      <c r="F31" s="457">
        <v>0.8</v>
      </c>
      <c r="G31" s="461"/>
      <c r="H31" s="1045">
        <f>H33</f>
        <v>0.63043548722547393</v>
      </c>
      <c r="I31" s="461"/>
      <c r="J31" s="461"/>
      <c r="K31" s="458"/>
      <c r="L31" s="459"/>
      <c r="M31" s="460"/>
      <c r="N31" s="1046"/>
      <c r="O31" s="1047"/>
      <c r="P31" s="422"/>
      <c r="Q31" s="422"/>
      <c r="R31" s="422"/>
      <c r="S31" s="422"/>
      <c r="T31" s="1048"/>
      <c r="U31" s="1048"/>
      <c r="V31" s="461"/>
      <c r="W31" s="461"/>
      <c r="X31" s="461"/>
      <c r="Y31" s="1028"/>
    </row>
    <row r="32" spans="1:25">
      <c r="A32" s="2901">
        <v>4131</v>
      </c>
      <c r="B32" s="1049"/>
      <c r="C32" s="2898" t="s">
        <v>109</v>
      </c>
      <c r="D32" s="2899" t="s">
        <v>583</v>
      </c>
      <c r="E32" s="408" t="s">
        <v>584</v>
      </c>
      <c r="F32" s="411"/>
      <c r="G32" s="265"/>
      <c r="H32" s="1034">
        <f>H33</f>
        <v>0.63043548722547393</v>
      </c>
      <c r="I32" s="265"/>
      <c r="J32" s="265"/>
      <c r="K32" s="412">
        <f>SUM(K33+K34+K35)</f>
        <v>201441</v>
      </c>
      <c r="L32" s="444">
        <v>1</v>
      </c>
      <c r="M32" s="412">
        <f>M33+M34+M35</f>
        <v>188173</v>
      </c>
      <c r="N32" s="1034">
        <f>SUM(N33:N35)</f>
        <v>0.40649999999999997</v>
      </c>
      <c r="O32" s="2900">
        <f>IF(Q32&gt;0,N32,"na")</f>
        <v>0.40649999999999997</v>
      </c>
      <c r="P32" s="412">
        <f t="shared" ref="P32:S32" si="9">SUM(P33:P35)</f>
        <v>9238578982</v>
      </c>
      <c r="Q32" s="412">
        <f t="shared" si="9"/>
        <v>13770578982</v>
      </c>
      <c r="R32" s="412">
        <f t="shared" si="9"/>
        <v>10590356934</v>
      </c>
      <c r="S32" s="412">
        <f t="shared" si="9"/>
        <v>6155303054</v>
      </c>
      <c r="T32" s="444">
        <f t="shared" ref="T32:U35" si="10">+IF(Q32=0,0,R32/Q32)</f>
        <v>0.76905676572081838</v>
      </c>
      <c r="U32" s="444">
        <f t="shared" si="10"/>
        <v>0.58121771460210159</v>
      </c>
      <c r="V32" s="265"/>
      <c r="W32" s="265"/>
      <c r="X32" s="265"/>
      <c r="Y32" s="1028"/>
    </row>
    <row r="33" spans="1:25" ht="148.5" customHeight="1">
      <c r="A33" s="2901"/>
      <c r="B33" s="1049"/>
      <c r="C33" s="2890"/>
      <c r="D33" s="2890"/>
      <c r="E33" s="409" t="s">
        <v>585</v>
      </c>
      <c r="F33" s="411"/>
      <c r="G33" s="265" t="s">
        <v>586</v>
      </c>
      <c r="H33" s="1050">
        <f>466811/740458</f>
        <v>0.63043548722547393</v>
      </c>
      <c r="I33" s="265" t="s">
        <v>587</v>
      </c>
      <c r="J33" s="265" t="s">
        <v>588</v>
      </c>
      <c r="K33" s="419">
        <v>1</v>
      </c>
      <c r="L33" s="444">
        <v>0.4</v>
      </c>
      <c r="M33" s="414">
        <v>1</v>
      </c>
      <c r="N33" s="1034">
        <v>0.17249999999999999</v>
      </c>
      <c r="O33" s="2890"/>
      <c r="P33" s="412">
        <v>3565989535</v>
      </c>
      <c r="Q33" s="412">
        <f>2797580640+2620758951+357120000</f>
        <v>5775459591</v>
      </c>
      <c r="R33" s="412">
        <v>4186965200</v>
      </c>
      <c r="S33" s="412">
        <v>2485566320</v>
      </c>
      <c r="T33" s="444">
        <f t="shared" si="10"/>
        <v>0.72495792482465315</v>
      </c>
      <c r="U33" s="444">
        <f t="shared" si="10"/>
        <v>0.59364389271733142</v>
      </c>
      <c r="V33" s="416">
        <v>45309</v>
      </c>
      <c r="W33" s="416">
        <v>45657</v>
      </c>
      <c r="X33" s="213" t="s">
        <v>4748</v>
      </c>
      <c r="Y33" s="2892" t="s">
        <v>589</v>
      </c>
    </row>
    <row r="34" spans="1:25" ht="94.5" customHeight="1">
      <c r="A34" s="2901"/>
      <c r="B34" s="1049"/>
      <c r="C34" s="2890"/>
      <c r="D34" s="2890"/>
      <c r="E34" s="409" t="s">
        <v>590</v>
      </c>
      <c r="F34" s="411"/>
      <c r="G34" s="265"/>
      <c r="H34" s="265"/>
      <c r="I34" s="265" t="s">
        <v>4749</v>
      </c>
      <c r="J34" s="265" t="s">
        <v>591</v>
      </c>
      <c r="K34" s="412">
        <v>201436</v>
      </c>
      <c r="L34" s="444">
        <v>0.4</v>
      </c>
      <c r="M34" s="414">
        <f>50+454+91+11+186791+767</f>
        <v>188164</v>
      </c>
      <c r="N34" s="1034">
        <v>0.1807</v>
      </c>
      <c r="O34" s="2890"/>
      <c r="P34" s="412">
        <v>5472463790</v>
      </c>
      <c r="Q34" s="412">
        <f>3358350867+1345316000+1083253000+1237348867+770725000</f>
        <v>7794993734</v>
      </c>
      <c r="R34" s="412">
        <v>6387943234</v>
      </c>
      <c r="S34" s="412">
        <v>3654288234</v>
      </c>
      <c r="T34" s="444">
        <f t="shared" si="10"/>
        <v>0.81949305566946595</v>
      </c>
      <c r="U34" s="444">
        <f t="shared" si="10"/>
        <v>0.57206022347693264</v>
      </c>
      <c r="V34" s="416">
        <v>45309</v>
      </c>
      <c r="W34" s="416">
        <v>45657</v>
      </c>
      <c r="X34" s="213" t="s">
        <v>4750</v>
      </c>
      <c r="Y34" s="2886"/>
    </row>
    <row r="35" spans="1:25" ht="40.5">
      <c r="A35" s="2901"/>
      <c r="B35" s="1049"/>
      <c r="C35" s="2890"/>
      <c r="D35" s="2890"/>
      <c r="E35" s="409" t="s">
        <v>592</v>
      </c>
      <c r="F35" s="411"/>
      <c r="G35" s="265"/>
      <c r="H35" s="265"/>
      <c r="I35" s="265" t="s">
        <v>593</v>
      </c>
      <c r="J35" s="265" t="s">
        <v>594</v>
      </c>
      <c r="K35" s="419">
        <v>4</v>
      </c>
      <c r="L35" s="444">
        <v>0.2</v>
      </c>
      <c r="M35" s="414">
        <v>8</v>
      </c>
      <c r="N35" s="1034">
        <v>5.33E-2</v>
      </c>
      <c r="O35" s="2890"/>
      <c r="P35" s="412">
        <v>200125657</v>
      </c>
      <c r="Q35" s="412">
        <f>200125657</f>
        <v>200125657</v>
      </c>
      <c r="R35" s="412">
        <f t="shared" ref="R35:S35" si="11">15448500</f>
        <v>15448500</v>
      </c>
      <c r="S35" s="412">
        <f t="shared" si="11"/>
        <v>15448500</v>
      </c>
      <c r="T35" s="444">
        <f t="shared" si="10"/>
        <v>7.7194000167604693E-2</v>
      </c>
      <c r="U35" s="444">
        <f t="shared" si="10"/>
        <v>1</v>
      </c>
      <c r="V35" s="416">
        <v>45309</v>
      </c>
      <c r="W35" s="416">
        <v>45657</v>
      </c>
      <c r="X35" s="213" t="s">
        <v>4751</v>
      </c>
      <c r="Y35" s="2887"/>
    </row>
    <row r="36" spans="1:25">
      <c r="A36" s="391"/>
      <c r="B36" s="401">
        <v>54020040006</v>
      </c>
      <c r="C36" s="401" t="s">
        <v>103</v>
      </c>
      <c r="D36" s="403" t="s">
        <v>595</v>
      </c>
      <c r="E36" s="404"/>
      <c r="F36" s="447">
        <v>86000</v>
      </c>
      <c r="G36" s="235"/>
      <c r="H36" s="211"/>
      <c r="I36" s="235"/>
      <c r="J36" s="235"/>
      <c r="K36" s="405"/>
      <c r="L36" s="242"/>
      <c r="M36" s="238"/>
      <c r="N36" s="449"/>
      <c r="O36" s="241"/>
      <c r="P36" s="462"/>
      <c r="Q36" s="405"/>
      <c r="R36" s="405"/>
      <c r="S36" s="405"/>
      <c r="T36" s="407"/>
      <c r="U36" s="407"/>
      <c r="V36" s="238"/>
      <c r="W36" s="238"/>
      <c r="X36" s="213"/>
      <c r="Y36" s="1028"/>
    </row>
    <row r="37" spans="1:25">
      <c r="A37" s="2901">
        <v>4131</v>
      </c>
      <c r="B37" s="2888"/>
      <c r="C37" s="2888" t="s">
        <v>109</v>
      </c>
      <c r="D37" s="2896" t="s">
        <v>596</v>
      </c>
      <c r="E37" s="408" t="s">
        <v>597</v>
      </c>
      <c r="F37" s="424"/>
      <c r="G37" s="417"/>
      <c r="H37" s="466">
        <f>H38</f>
        <v>86000</v>
      </c>
      <c r="I37" s="265"/>
      <c r="J37" s="265"/>
      <c r="K37" s="463">
        <v>86000</v>
      </c>
      <c r="L37" s="214">
        <f t="shared" ref="L37:N37" si="12">SUM(L38:L39)</f>
        <v>1</v>
      </c>
      <c r="M37" s="413">
        <f t="shared" si="12"/>
        <v>44398</v>
      </c>
      <c r="N37" s="1033">
        <f t="shared" si="12"/>
        <v>0.50959999999999994</v>
      </c>
      <c r="O37" s="2897">
        <f>IF(Q37&gt;0,N37,"na")</f>
        <v>0.50959999999999994</v>
      </c>
      <c r="P37" s="412">
        <f t="shared" ref="P37:S37" si="13">SUM(P38:P39)</f>
        <v>2501089321</v>
      </c>
      <c r="Q37" s="412">
        <f t="shared" si="13"/>
        <v>5068129974</v>
      </c>
      <c r="R37" s="412">
        <f t="shared" si="13"/>
        <v>3774817369</v>
      </c>
      <c r="S37" s="412">
        <f t="shared" si="13"/>
        <v>2277683369</v>
      </c>
      <c r="T37" s="897">
        <f t="shared" ref="T37:U39" si="14">IF(Q37=0,0,R37/Q37)</f>
        <v>0.74481463347727472</v>
      </c>
      <c r="U37" s="897">
        <f t="shared" si="14"/>
        <v>0.60338902424924179</v>
      </c>
      <c r="V37" s="417"/>
      <c r="W37" s="417"/>
      <c r="X37" s="213"/>
      <c r="Y37" s="1028"/>
    </row>
    <row r="38" spans="1:25" ht="131.44999999999999" customHeight="1">
      <c r="A38" s="2890"/>
      <c r="B38" s="2890"/>
      <c r="C38" s="2890"/>
      <c r="D38" s="2890"/>
      <c r="E38" s="408" t="s">
        <v>598</v>
      </c>
      <c r="F38" s="408"/>
      <c r="G38" s="265" t="s">
        <v>599</v>
      </c>
      <c r="H38" s="466">
        <v>86000</v>
      </c>
      <c r="I38" s="213" t="s">
        <v>600</v>
      </c>
      <c r="J38" s="414" t="s">
        <v>601</v>
      </c>
      <c r="K38" s="463">
        <v>86000</v>
      </c>
      <c r="L38" s="214">
        <v>0.6</v>
      </c>
      <c r="M38" s="463">
        <v>44398</v>
      </c>
      <c r="N38" s="1034">
        <v>0.30969999999999998</v>
      </c>
      <c r="O38" s="2890"/>
      <c r="P38" s="463">
        <v>2200944525</v>
      </c>
      <c r="Q38" s="412">
        <v>4625447404</v>
      </c>
      <c r="R38" s="1051">
        <v>3443697136</v>
      </c>
      <c r="S38" s="1051">
        <v>2068194136</v>
      </c>
      <c r="T38" s="897">
        <f t="shared" si="14"/>
        <v>0.74451114351056191</v>
      </c>
      <c r="U38" s="897">
        <f t="shared" si="14"/>
        <v>0.60057375963157289</v>
      </c>
      <c r="V38" s="416">
        <v>45313</v>
      </c>
      <c r="W38" s="420">
        <v>45656</v>
      </c>
      <c r="X38" s="1035" t="s">
        <v>4752</v>
      </c>
      <c r="Y38" s="2892" t="s">
        <v>542</v>
      </c>
    </row>
    <row r="39" spans="1:25" ht="162" customHeight="1">
      <c r="A39" s="2890"/>
      <c r="B39" s="2890"/>
      <c r="C39" s="2890"/>
      <c r="D39" s="2890"/>
      <c r="E39" s="408" t="s">
        <v>602</v>
      </c>
      <c r="F39" s="408"/>
      <c r="G39" s="327"/>
      <c r="H39" s="327"/>
      <c r="I39" s="213" t="s">
        <v>603</v>
      </c>
      <c r="J39" s="417" t="s">
        <v>604</v>
      </c>
      <c r="K39" s="423">
        <v>1</v>
      </c>
      <c r="L39" s="214">
        <v>0.4</v>
      </c>
      <c r="M39" s="413"/>
      <c r="N39" s="1034">
        <v>0.19989999999999999</v>
      </c>
      <c r="O39" s="2890"/>
      <c r="P39" s="463">
        <v>300144796</v>
      </c>
      <c r="Q39" s="412">
        <v>442682570</v>
      </c>
      <c r="R39" s="412">
        <v>331120233</v>
      </c>
      <c r="S39" s="412">
        <v>209489233</v>
      </c>
      <c r="T39" s="897">
        <f t="shared" si="14"/>
        <v>0.74798570226065142</v>
      </c>
      <c r="U39" s="897">
        <f t="shared" si="14"/>
        <v>0.63266817343656556</v>
      </c>
      <c r="V39" s="416">
        <v>45313</v>
      </c>
      <c r="W39" s="420">
        <v>45656</v>
      </c>
      <c r="X39" s="1035" t="s">
        <v>4753</v>
      </c>
      <c r="Y39" s="2887"/>
    </row>
    <row r="40" spans="1:25">
      <c r="A40" s="404"/>
      <c r="B40" s="401">
        <v>54020040007</v>
      </c>
      <c r="C40" s="401" t="s">
        <v>103</v>
      </c>
      <c r="D40" s="402" t="s">
        <v>605</v>
      </c>
      <c r="E40" s="404"/>
      <c r="F40" s="404">
        <v>1</v>
      </c>
      <c r="G40" s="211"/>
      <c r="H40" s="211"/>
      <c r="I40" s="235"/>
      <c r="J40" s="235"/>
      <c r="K40" s="236"/>
      <c r="L40" s="242"/>
      <c r="M40" s="238"/>
      <c r="N40" s="449"/>
      <c r="O40" s="241"/>
      <c r="P40" s="462"/>
      <c r="Q40" s="405"/>
      <c r="R40" s="405"/>
      <c r="S40" s="405"/>
      <c r="T40" s="407"/>
      <c r="U40" s="407"/>
      <c r="V40" s="238"/>
      <c r="W40" s="238"/>
      <c r="X40" s="213"/>
      <c r="Y40" s="1028"/>
    </row>
    <row r="41" spans="1:25">
      <c r="A41" s="2901">
        <v>4131</v>
      </c>
      <c r="B41" s="2888"/>
      <c r="C41" s="2888" t="s">
        <v>109</v>
      </c>
      <c r="D41" s="2896" t="s">
        <v>606</v>
      </c>
      <c r="E41" s="408" t="s">
        <v>607</v>
      </c>
      <c r="F41" s="424"/>
      <c r="G41" s="417"/>
      <c r="H41" s="326">
        <f>H43</f>
        <v>1</v>
      </c>
      <c r="I41" s="265"/>
      <c r="J41" s="265"/>
      <c r="K41" s="419">
        <f>K43</f>
        <v>1</v>
      </c>
      <c r="L41" s="214">
        <f>SUM(L42:L43)</f>
        <v>1</v>
      </c>
      <c r="M41" s="265">
        <f t="shared" ref="M41:N41" si="15">SUM(M43)</f>
        <v>0</v>
      </c>
      <c r="N41" s="1034">
        <f t="shared" si="15"/>
        <v>0</v>
      </c>
      <c r="O41" s="2897">
        <f>IF(Q41&gt;0,N41,"na")</f>
        <v>0</v>
      </c>
      <c r="P41" s="412">
        <f t="shared" ref="P41:S41" si="16">SUM(P42:P43)</f>
        <v>1525539864</v>
      </c>
      <c r="Q41" s="412">
        <f t="shared" si="16"/>
        <v>1525539864</v>
      </c>
      <c r="R41" s="412">
        <f t="shared" si="16"/>
        <v>0</v>
      </c>
      <c r="S41" s="412">
        <f t="shared" si="16"/>
        <v>0</v>
      </c>
      <c r="T41" s="897">
        <f t="shared" ref="T41:U42" si="17">IF(Q41=0,0,R41/Q41)</f>
        <v>0</v>
      </c>
      <c r="U41" s="897">
        <f t="shared" si="17"/>
        <v>0</v>
      </c>
      <c r="V41" s="417"/>
      <c r="W41" s="417"/>
      <c r="X41" s="213"/>
      <c r="Y41" s="1028"/>
    </row>
    <row r="42" spans="1:25" ht="40.5" customHeight="1">
      <c r="A42" s="2890"/>
      <c r="B42" s="2890"/>
      <c r="C42" s="2890"/>
      <c r="D42" s="2890"/>
      <c r="E42" s="408" t="s">
        <v>608</v>
      </c>
      <c r="F42" s="424"/>
      <c r="G42" s="265"/>
      <c r="H42" s="327"/>
      <c r="I42" s="265"/>
      <c r="J42" s="265" t="s">
        <v>609</v>
      </c>
      <c r="K42" s="265">
        <v>1</v>
      </c>
      <c r="L42" s="214">
        <v>0.6</v>
      </c>
      <c r="M42" s="265"/>
      <c r="N42" s="1034"/>
      <c r="O42" s="2890"/>
      <c r="P42" s="1051">
        <v>1265940000</v>
      </c>
      <c r="Q42" s="1051">
        <v>1265940000</v>
      </c>
      <c r="R42" s="412">
        <v>0</v>
      </c>
      <c r="S42" s="412">
        <v>0</v>
      </c>
      <c r="T42" s="897">
        <f t="shared" si="17"/>
        <v>0</v>
      </c>
      <c r="U42" s="897">
        <f t="shared" si="17"/>
        <v>0</v>
      </c>
      <c r="V42" s="416"/>
      <c r="W42" s="420"/>
      <c r="X42" s="213"/>
      <c r="Y42" s="2892" t="s">
        <v>542</v>
      </c>
    </row>
    <row r="43" spans="1:25" ht="67.5" customHeight="1">
      <c r="A43" s="2890"/>
      <c r="B43" s="2890"/>
      <c r="C43" s="2890"/>
      <c r="D43" s="2890"/>
      <c r="E43" s="408" t="s">
        <v>610</v>
      </c>
      <c r="F43" s="424"/>
      <c r="G43" s="265" t="s">
        <v>605</v>
      </c>
      <c r="H43" s="327">
        <v>1</v>
      </c>
      <c r="I43" s="265" t="s">
        <v>611</v>
      </c>
      <c r="J43" s="265" t="s">
        <v>612</v>
      </c>
      <c r="K43" s="419">
        <v>1</v>
      </c>
      <c r="L43" s="214">
        <v>0.4</v>
      </c>
      <c r="M43" s="265"/>
      <c r="N43" s="1034"/>
      <c r="O43" s="2890"/>
      <c r="P43" s="1051">
        <v>259599864</v>
      </c>
      <c r="Q43" s="1051">
        <v>259599864</v>
      </c>
      <c r="R43" s="412">
        <v>0</v>
      </c>
      <c r="S43" s="412">
        <v>0</v>
      </c>
      <c r="T43" s="897">
        <v>0</v>
      </c>
      <c r="U43" s="897">
        <v>0</v>
      </c>
      <c r="V43" s="416"/>
      <c r="W43" s="420"/>
      <c r="X43" s="213"/>
      <c r="Y43" s="2887"/>
    </row>
    <row r="44" spans="1:25">
      <c r="A44" s="464"/>
      <c r="B44" s="401">
        <v>54020040005</v>
      </c>
      <c r="C44" s="401" t="s">
        <v>103</v>
      </c>
      <c r="D44" s="402" t="s">
        <v>613</v>
      </c>
      <c r="E44" s="464"/>
      <c r="F44" s="465"/>
      <c r="G44" s="468"/>
      <c r="H44" s="468"/>
      <c r="I44" s="468"/>
      <c r="J44" s="964"/>
      <c r="K44" s="1052"/>
      <c r="L44" s="1052"/>
      <c r="M44" s="468"/>
      <c r="N44" s="468"/>
      <c r="O44" s="468"/>
      <c r="P44" s="1052"/>
      <c r="Q44" s="1052"/>
      <c r="R44" s="1052"/>
      <c r="S44" s="1052"/>
      <c r="T44" s="1053"/>
      <c r="U44" s="1053"/>
      <c r="V44" s="468"/>
      <c r="W44" s="468"/>
      <c r="X44" s="1054"/>
      <c r="Y44" s="1031"/>
    </row>
    <row r="45" spans="1:25" s="471" customFormat="1" ht="13.5" customHeight="1">
      <c r="A45" s="2895"/>
      <c r="B45" s="2895"/>
      <c r="C45" s="2895" t="s">
        <v>109</v>
      </c>
      <c r="D45" s="2893" t="s">
        <v>614</v>
      </c>
      <c r="E45" s="408">
        <v>26004741</v>
      </c>
      <c r="F45" s="1055"/>
      <c r="G45" s="468"/>
      <c r="H45" s="1056">
        <v>1</v>
      </c>
      <c r="I45" s="468"/>
      <c r="J45" s="964"/>
      <c r="K45" s="1052"/>
      <c r="L45" s="1050">
        <f t="shared" ref="L45:M45" si="18">SUM(L46:L47)</f>
        <v>0.5</v>
      </c>
      <c r="M45" s="1057">
        <f t="shared" si="18"/>
        <v>0</v>
      </c>
      <c r="N45" s="1044">
        <f>SUM(N46:N49)</f>
        <v>0.2666</v>
      </c>
      <c r="O45" s="468"/>
      <c r="P45" s="1058">
        <f t="shared" ref="P45:S45" si="19">SUM(P46:P49)</f>
        <v>5034682054</v>
      </c>
      <c r="Q45" s="1058">
        <f t="shared" si="19"/>
        <v>5975682054</v>
      </c>
      <c r="R45" s="1051">
        <f t="shared" si="19"/>
        <v>2946062160</v>
      </c>
      <c r="S45" s="1051">
        <f t="shared" si="19"/>
        <v>998254120</v>
      </c>
      <c r="T45" s="1044">
        <f t="shared" ref="T45:U49" si="20">IF(Q45=0,0,R45/Q45)</f>
        <v>0.49300851909079835</v>
      </c>
      <c r="U45" s="1044">
        <f t="shared" si="20"/>
        <v>0.33884353614589041</v>
      </c>
      <c r="V45" s="468"/>
      <c r="W45" s="468"/>
      <c r="X45" s="1054"/>
      <c r="Y45" s="2894" t="s">
        <v>615</v>
      </c>
    </row>
    <row r="46" spans="1:25" s="471" customFormat="1" ht="54" customHeight="1">
      <c r="A46" s="2895"/>
      <c r="B46" s="2895"/>
      <c r="C46" s="2895"/>
      <c r="D46" s="2890"/>
      <c r="E46" s="1059" t="s">
        <v>616</v>
      </c>
      <c r="F46" s="1060"/>
      <c r="G46" s="2889" t="s">
        <v>617</v>
      </c>
      <c r="H46" s="468"/>
      <c r="I46" s="1061" t="s">
        <v>618</v>
      </c>
      <c r="J46" s="1061" t="s">
        <v>619</v>
      </c>
      <c r="K46" s="1058">
        <v>145000</v>
      </c>
      <c r="L46" s="1050">
        <v>0.4</v>
      </c>
      <c r="M46" s="468"/>
      <c r="N46" s="1050">
        <v>0.14000000000000001</v>
      </c>
      <c r="O46" s="2891">
        <f>IF(Q45&gt;0,N45,"na")</f>
        <v>0.2666</v>
      </c>
      <c r="P46" s="1058">
        <v>2665211771</v>
      </c>
      <c r="Q46" s="1058">
        <v>3391852105</v>
      </c>
      <c r="R46" s="1058">
        <v>2229127300</v>
      </c>
      <c r="S46" s="1058">
        <v>764242500</v>
      </c>
      <c r="T46" s="1044">
        <f t="shared" si="20"/>
        <v>0.65720061812659725</v>
      </c>
      <c r="U46" s="1044">
        <f t="shared" si="20"/>
        <v>0.34284381156697513</v>
      </c>
      <c r="V46" s="416">
        <v>45383</v>
      </c>
      <c r="W46" s="420">
        <v>45656</v>
      </c>
      <c r="X46" s="1062" t="s">
        <v>4754</v>
      </c>
      <c r="Y46" s="2886"/>
    </row>
    <row r="47" spans="1:25" s="471" customFormat="1" ht="40.5" customHeight="1">
      <c r="A47" s="2895"/>
      <c r="B47" s="2895"/>
      <c r="C47" s="2895"/>
      <c r="D47" s="2890"/>
      <c r="E47" s="1059" t="s">
        <v>620</v>
      </c>
      <c r="F47" s="1060"/>
      <c r="G47" s="2890"/>
      <c r="H47" s="468"/>
      <c r="I47" s="1061" t="s">
        <v>621</v>
      </c>
      <c r="J47" s="1063" t="s">
        <v>241</v>
      </c>
      <c r="K47" s="1064">
        <v>1</v>
      </c>
      <c r="L47" s="1050">
        <v>0.1</v>
      </c>
      <c r="M47" s="468"/>
      <c r="N47" s="1050">
        <v>3.3300000000000003E-2</v>
      </c>
      <c r="O47" s="2890"/>
      <c r="P47" s="1058">
        <v>545259857</v>
      </c>
      <c r="Q47" s="1058">
        <v>693624000</v>
      </c>
      <c r="R47" s="1058">
        <v>454754000</v>
      </c>
      <c r="S47" s="1058">
        <v>146618000</v>
      </c>
      <c r="T47" s="1044">
        <f t="shared" si="20"/>
        <v>0.65562033608987003</v>
      </c>
      <c r="U47" s="1044">
        <f t="shared" si="20"/>
        <v>0.32241167752235272</v>
      </c>
      <c r="V47" s="416">
        <v>45397</v>
      </c>
      <c r="W47" s="420">
        <v>45656</v>
      </c>
      <c r="X47" s="1062" t="s">
        <v>4755</v>
      </c>
      <c r="Y47" s="2886"/>
    </row>
    <row r="48" spans="1:25" s="471" customFormat="1" ht="54" customHeight="1">
      <c r="A48" s="2895"/>
      <c r="B48" s="2895"/>
      <c r="C48" s="2895"/>
      <c r="D48" s="2890"/>
      <c r="E48" s="1059" t="s">
        <v>622</v>
      </c>
      <c r="F48" s="1060"/>
      <c r="G48" s="2890"/>
      <c r="H48" s="468"/>
      <c r="I48" s="1061" t="s">
        <v>623</v>
      </c>
      <c r="J48" s="446" t="s">
        <v>624</v>
      </c>
      <c r="K48" s="1064">
        <v>1200</v>
      </c>
      <c r="L48" s="1050">
        <v>0.4</v>
      </c>
      <c r="M48" s="468"/>
      <c r="N48" s="1050">
        <v>0.06</v>
      </c>
      <c r="O48" s="2890"/>
      <c r="P48" s="1058">
        <v>1730127764</v>
      </c>
      <c r="Q48" s="1058">
        <v>1730127764</v>
      </c>
      <c r="R48" s="1058">
        <v>183934860</v>
      </c>
      <c r="S48" s="1058">
        <v>61311620</v>
      </c>
      <c r="T48" s="1044">
        <f t="shared" si="20"/>
        <v>0.10631287690265631</v>
      </c>
      <c r="U48" s="1044">
        <f t="shared" si="20"/>
        <v>0.33333333333333331</v>
      </c>
      <c r="V48" s="416">
        <v>45397</v>
      </c>
      <c r="W48" s="420">
        <v>45656</v>
      </c>
      <c r="X48" s="1062" t="s">
        <v>4756</v>
      </c>
      <c r="Y48" s="2886"/>
    </row>
    <row r="49" spans="1:25" s="471" customFormat="1" ht="38.25">
      <c r="A49" s="2895"/>
      <c r="B49" s="2895"/>
      <c r="C49" s="2895"/>
      <c r="D49" s="2890"/>
      <c r="E49" s="1059" t="s">
        <v>625</v>
      </c>
      <c r="F49" s="1060"/>
      <c r="G49" s="2890"/>
      <c r="H49" s="468"/>
      <c r="I49" s="1061" t="s">
        <v>626</v>
      </c>
      <c r="J49" s="446" t="s">
        <v>241</v>
      </c>
      <c r="K49" s="1064">
        <v>1</v>
      </c>
      <c r="L49" s="1050">
        <v>0.1</v>
      </c>
      <c r="M49" s="468"/>
      <c r="N49" s="1050">
        <v>3.3300000000000003E-2</v>
      </c>
      <c r="O49" s="2890"/>
      <c r="P49" s="1058">
        <v>94082662</v>
      </c>
      <c r="Q49" s="1058">
        <v>160078185</v>
      </c>
      <c r="R49" s="1058">
        <v>78246000</v>
      </c>
      <c r="S49" s="1058">
        <v>26082000</v>
      </c>
      <c r="T49" s="1044">
        <f t="shared" si="20"/>
        <v>0.48879864548689128</v>
      </c>
      <c r="U49" s="1044">
        <f t="shared" si="20"/>
        <v>0.33333333333333331</v>
      </c>
      <c r="V49" s="416">
        <v>45397</v>
      </c>
      <c r="W49" s="420">
        <v>45656</v>
      </c>
      <c r="X49" s="1062" t="s">
        <v>4757</v>
      </c>
      <c r="Y49" s="2887"/>
    </row>
    <row r="50" spans="1:25">
      <c r="A50" s="368"/>
      <c r="B50" s="369"/>
      <c r="C50" s="368"/>
      <c r="D50" s="370"/>
      <c r="E50" s="368"/>
      <c r="F50" s="369"/>
      <c r="G50" s="369"/>
      <c r="H50" s="369"/>
      <c r="I50" s="369"/>
      <c r="J50" s="368"/>
      <c r="K50" s="371"/>
      <c r="L50" s="371"/>
      <c r="M50" s="369"/>
      <c r="N50" s="369"/>
      <c r="O50" s="369"/>
      <c r="P50" s="371"/>
      <c r="Q50" s="371"/>
      <c r="R50" s="371"/>
      <c r="S50" s="371"/>
      <c r="T50" s="1024"/>
      <c r="U50" s="1024"/>
      <c r="V50" s="369"/>
      <c r="W50" s="369"/>
      <c r="X50" s="372"/>
      <c r="Y50" s="373"/>
    </row>
    <row r="51" spans="1:25">
      <c r="A51" s="368"/>
      <c r="B51" s="374" t="s">
        <v>36</v>
      </c>
      <c r="C51" s="374">
        <f>COUNTIF(C7:C49,"pr")</f>
        <v>8</v>
      </c>
      <c r="D51" s="375"/>
      <c r="E51" s="373" t="s">
        <v>112</v>
      </c>
      <c r="F51" s="374"/>
      <c r="G51" s="374">
        <f>COUNTIF(O11:O35,"na")</f>
        <v>0</v>
      </c>
      <c r="H51" s="373"/>
      <c r="I51" s="373"/>
      <c r="J51" s="374"/>
      <c r="K51" s="376"/>
      <c r="L51" s="376"/>
      <c r="M51" s="373"/>
      <c r="N51" s="374" t="s">
        <v>113</v>
      </c>
      <c r="O51" s="377">
        <f>+AVERAGE(O7:O49)</f>
        <v>0.36658749999999996</v>
      </c>
      <c r="P51" s="378">
        <f>SUM(P11+P19+P24+P28+P32+P37+P41+P45)</f>
        <v>27192829865</v>
      </c>
      <c r="Q51" s="378">
        <f>SUM(Q11+Q19+Q24+Q28+Q32+Q37+Q41+Q45)</f>
        <v>42380886683</v>
      </c>
      <c r="R51" s="378">
        <f>SUM(R11+R19+R24+R28+R32+R37+R41+R45)</f>
        <v>27963044995</v>
      </c>
      <c r="S51" s="378">
        <f>SUM(S11+S19+S24+S28+S32+S37+S41+S45)</f>
        <v>15042061575</v>
      </c>
      <c r="T51" s="1024">
        <f t="shared" ref="T51:U51" si="21">+IF(Q51=0,0,R51/Q51)</f>
        <v>0.65980320808664572</v>
      </c>
      <c r="U51" s="1024">
        <f t="shared" si="21"/>
        <v>0.53792645177553566</v>
      </c>
      <c r="V51" s="369"/>
      <c r="W51" s="369"/>
      <c r="X51" s="372"/>
      <c r="Y51" s="373"/>
    </row>
    <row r="52" spans="1:25">
      <c r="A52" s="368"/>
      <c r="B52" s="373"/>
      <c r="C52" s="374"/>
      <c r="D52" s="375"/>
      <c r="E52" s="374"/>
      <c r="F52" s="373"/>
      <c r="G52" s="373"/>
      <c r="H52" s="373"/>
      <c r="I52" s="373"/>
      <c r="J52" s="374"/>
      <c r="K52" s="376"/>
      <c r="L52" s="376"/>
      <c r="M52" s="373"/>
      <c r="N52" s="379" t="s">
        <v>119</v>
      </c>
      <c r="O52" s="380">
        <f>COUNTIF(O7:O49,"=0%")</f>
        <v>1</v>
      </c>
      <c r="P52" s="378">
        <v>27192829865</v>
      </c>
      <c r="Q52" s="378">
        <v>42380886683</v>
      </c>
      <c r="R52" s="378">
        <v>27963044995</v>
      </c>
      <c r="S52" s="378">
        <v>15042061575</v>
      </c>
      <c r="T52" s="1024"/>
      <c r="U52" s="1024"/>
      <c r="V52" s="369"/>
      <c r="W52" s="369"/>
      <c r="X52" s="372"/>
      <c r="Y52" s="373"/>
    </row>
    <row r="53" spans="1:25">
      <c r="A53" s="368"/>
      <c r="B53" s="381"/>
      <c r="C53" s="381"/>
      <c r="D53" s="381"/>
      <c r="E53" s="381"/>
      <c r="F53" s="381"/>
      <c r="G53" s="381"/>
      <c r="H53" s="477"/>
      <c r="I53" s="381"/>
      <c r="J53" s="381"/>
      <c r="K53" s="478"/>
      <c r="L53" s="478"/>
      <c r="M53" s="381"/>
      <c r="N53" s="381"/>
      <c r="O53" s="479"/>
      <c r="P53" s="381"/>
      <c r="Q53" s="381"/>
      <c r="R53" s="381"/>
      <c r="S53" s="381"/>
      <c r="T53" s="1024"/>
      <c r="U53" s="1024"/>
      <c r="V53" s="369"/>
      <c r="W53" s="369"/>
      <c r="X53" s="372"/>
      <c r="Y53" s="373"/>
    </row>
    <row r="54" spans="1:25">
      <c r="A54" s="381"/>
      <c r="T54" s="479"/>
      <c r="U54" s="479"/>
      <c r="V54" s="381"/>
      <c r="W54" s="381"/>
      <c r="X54" s="381"/>
      <c r="Y54" s="480"/>
    </row>
    <row r="55" spans="1:25">
      <c r="A55" s="381"/>
      <c r="B55" s="381"/>
      <c r="C55" s="381"/>
      <c r="D55" s="381"/>
      <c r="E55" s="381"/>
      <c r="F55" s="381"/>
      <c r="G55" s="381"/>
      <c r="H55" s="477"/>
      <c r="I55" s="381"/>
      <c r="J55" s="381"/>
      <c r="K55" s="478"/>
      <c r="L55" s="478"/>
      <c r="M55" s="381"/>
      <c r="N55" s="381"/>
      <c r="O55" s="377"/>
      <c r="P55" s="381"/>
      <c r="Q55" s="381"/>
      <c r="R55" s="381"/>
      <c r="S55" s="381"/>
      <c r="T55" s="479"/>
      <c r="U55" s="479"/>
      <c r="V55" s="381"/>
      <c r="W55" s="381"/>
      <c r="X55" s="381"/>
      <c r="Y55" s="480"/>
    </row>
    <row r="56" spans="1:25">
      <c r="A56" s="381"/>
      <c r="B56" s="381"/>
      <c r="C56" s="381"/>
      <c r="D56" s="381"/>
      <c r="E56" s="381"/>
      <c r="F56" s="381"/>
      <c r="G56" s="381"/>
      <c r="H56" s="477"/>
      <c r="I56" s="381"/>
      <c r="J56" s="381"/>
      <c r="K56" s="478"/>
      <c r="L56" s="478"/>
      <c r="M56" s="381"/>
      <c r="N56" s="381"/>
      <c r="O56" s="377"/>
      <c r="P56" s="381"/>
      <c r="Q56" s="381"/>
      <c r="R56" s="381"/>
      <c r="S56" s="381"/>
      <c r="T56" s="479"/>
      <c r="U56" s="479"/>
      <c r="V56" s="381"/>
      <c r="W56" s="381"/>
      <c r="X56" s="381"/>
      <c r="Y56" s="480"/>
    </row>
    <row r="57" spans="1:25">
      <c r="A57" s="381"/>
      <c r="B57" s="381"/>
      <c r="C57" s="381"/>
      <c r="D57" s="381"/>
      <c r="E57" s="381"/>
      <c r="F57" s="381"/>
      <c r="G57" s="381"/>
      <c r="H57" s="381"/>
      <c r="I57" s="381"/>
      <c r="J57" s="381"/>
      <c r="K57" s="478"/>
      <c r="L57" s="478"/>
      <c r="M57" s="381"/>
      <c r="N57" s="381"/>
      <c r="O57" s="381"/>
      <c r="P57" s="381"/>
      <c r="Q57" s="381"/>
      <c r="R57" s="381"/>
      <c r="S57" s="381"/>
      <c r="T57" s="479"/>
      <c r="U57" s="479"/>
      <c r="V57" s="381"/>
      <c r="W57" s="381"/>
      <c r="X57" s="381"/>
      <c r="Y57" s="480"/>
    </row>
    <row r="58" spans="1:25">
      <c r="A58" s="381"/>
      <c r="B58" s="381"/>
      <c r="C58" s="381"/>
      <c r="D58" s="381"/>
      <c r="E58" s="381"/>
      <c r="F58" s="381"/>
      <c r="G58" s="381"/>
      <c r="H58" s="381"/>
      <c r="I58" s="381"/>
      <c r="J58" s="381"/>
      <c r="K58" s="478"/>
      <c r="L58" s="478"/>
      <c r="M58" s="381"/>
      <c r="N58" s="381"/>
      <c r="O58" s="381"/>
      <c r="P58" s="381"/>
      <c r="Q58" s="381"/>
      <c r="R58" s="381"/>
      <c r="S58" s="381"/>
      <c r="T58" s="479"/>
      <c r="U58" s="479"/>
      <c r="V58" s="381"/>
      <c r="W58" s="381"/>
      <c r="X58" s="381"/>
      <c r="Y58" s="480"/>
    </row>
  </sheetData>
  <autoFilter ref="A5:Y6" xr:uid="{00000000-0009-0000-0000-000006000000}"/>
  <mergeCells count="79">
    <mergeCell ref="H5:H6"/>
    <mergeCell ref="O5:O6"/>
    <mergeCell ref="A1:X1"/>
    <mergeCell ref="D5:D6"/>
    <mergeCell ref="E5:E6"/>
    <mergeCell ref="F5:F6"/>
    <mergeCell ref="R5:R6"/>
    <mergeCell ref="S5:S6"/>
    <mergeCell ref="A5:A6"/>
    <mergeCell ref="Q5:Q6"/>
    <mergeCell ref="B5:B6"/>
    <mergeCell ref="C5:C6"/>
    <mergeCell ref="G5:G6"/>
    <mergeCell ref="A2:Y2"/>
    <mergeCell ref="Y5:Y6"/>
    <mergeCell ref="A3:B3"/>
    <mergeCell ref="C3:R3"/>
    <mergeCell ref="S3:U3"/>
    <mergeCell ref="V3:W3"/>
    <mergeCell ref="A4:Y4"/>
    <mergeCell ref="M5:M6"/>
    <mergeCell ref="I5:I6"/>
    <mergeCell ref="J5:J6"/>
    <mergeCell ref="K5:K6"/>
    <mergeCell ref="L5:L6"/>
    <mergeCell ref="N5:N6"/>
    <mergeCell ref="X5:X6"/>
    <mergeCell ref="P5:P6"/>
    <mergeCell ref="W5:W6"/>
    <mergeCell ref="U5:U6"/>
    <mergeCell ref="V5:V6"/>
    <mergeCell ref="T5:T6"/>
    <mergeCell ref="Y20:Y21"/>
    <mergeCell ref="C24:C26"/>
    <mergeCell ref="D24:D26"/>
    <mergeCell ref="O24:O26"/>
    <mergeCell ref="C28:C30"/>
    <mergeCell ref="D28:D30"/>
    <mergeCell ref="O28:O30"/>
    <mergeCell ref="C11:C17"/>
    <mergeCell ref="D11:D17"/>
    <mergeCell ref="O11:O17"/>
    <mergeCell ref="C19:C21"/>
    <mergeCell ref="D19:D21"/>
    <mergeCell ref="O19:O21"/>
    <mergeCell ref="C37:C39"/>
    <mergeCell ref="D37:D39"/>
    <mergeCell ref="O37:O39"/>
    <mergeCell ref="Y38:Y39"/>
    <mergeCell ref="Y29:Y30"/>
    <mergeCell ref="A24:A26"/>
    <mergeCell ref="A11:A17"/>
    <mergeCell ref="B11:B17"/>
    <mergeCell ref="A45:A49"/>
    <mergeCell ref="B45:B49"/>
    <mergeCell ref="A32:A35"/>
    <mergeCell ref="A28:A30"/>
    <mergeCell ref="A41:A43"/>
    <mergeCell ref="B41:B43"/>
    <mergeCell ref="A19:A21"/>
    <mergeCell ref="B19:B21"/>
    <mergeCell ref="A37:A39"/>
    <mergeCell ref="B37:B39"/>
    <mergeCell ref="Y12:Y17"/>
    <mergeCell ref="B24:B26"/>
    <mergeCell ref="Y25:Y26"/>
    <mergeCell ref="G46:G49"/>
    <mergeCell ref="O46:O49"/>
    <mergeCell ref="Y42:Y43"/>
    <mergeCell ref="D45:D49"/>
    <mergeCell ref="Y45:Y49"/>
    <mergeCell ref="C45:C49"/>
    <mergeCell ref="C41:C43"/>
    <mergeCell ref="D41:D43"/>
    <mergeCell ref="O41:O43"/>
    <mergeCell ref="C32:C35"/>
    <mergeCell ref="D32:D35"/>
    <mergeCell ref="O32:O35"/>
    <mergeCell ref="Y33:Y35"/>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45"/>
  <sheetViews>
    <sheetView topLeftCell="A136" zoomScale="60" zoomScaleNormal="60" zoomScaleSheetLayoutView="100" workbookViewId="0">
      <selection activeCell="C144" sqref="C144"/>
    </sheetView>
  </sheetViews>
  <sheetFormatPr baseColWidth="10" defaultColWidth="11.42578125" defaultRowHeight="16.5"/>
  <cols>
    <col min="1" max="1" width="13" style="2" customWidth="1"/>
    <col min="2" max="2" width="10.85546875" style="3" customWidth="1"/>
    <col min="3" max="3" width="8.5703125" style="2" customWidth="1"/>
    <col min="4" max="4" width="55" style="3" customWidth="1"/>
    <col min="5" max="5" width="16.85546875" style="3" customWidth="1"/>
    <col min="6" max="6" width="10.7109375" style="3" customWidth="1"/>
    <col min="7" max="8" width="12.42578125" style="3" customWidth="1"/>
    <col min="9" max="9" width="17.7109375" style="3" customWidth="1"/>
    <col min="10" max="10" width="17.5703125" style="2" customWidth="1"/>
    <col min="11" max="13" width="13.140625" style="16" customWidth="1"/>
    <col min="14" max="14" width="12.7109375" style="3" customWidth="1"/>
    <col min="15" max="15" width="11.7109375" style="2" customWidth="1"/>
    <col min="16" max="16" width="16.28515625" style="3" customWidth="1"/>
    <col min="17" max="17" width="18.42578125" style="3" customWidth="1"/>
    <col min="18" max="18" width="18.7109375" style="3" customWidth="1"/>
    <col min="19" max="19" width="16" style="3" customWidth="1"/>
    <col min="20" max="21" width="12.7109375" style="3" customWidth="1"/>
    <col min="22" max="23" width="10.7109375" style="3" customWidth="1"/>
    <col min="24" max="24" width="34" style="3" customWidth="1"/>
    <col min="25" max="25" width="17.140625" style="17" customWidth="1"/>
    <col min="26" max="26" width="12.85546875" style="3" bestFit="1" customWidth="1"/>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42</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5" ht="53.25" customHeight="1">
      <c r="A5" s="2836" t="s">
        <v>74</v>
      </c>
      <c r="B5" s="2836" t="s">
        <v>4</v>
      </c>
      <c r="C5" s="2836" t="s">
        <v>3</v>
      </c>
      <c r="D5" s="2836" t="s">
        <v>94</v>
      </c>
      <c r="E5" s="2836" t="s">
        <v>2</v>
      </c>
      <c r="F5" s="2836" t="s">
        <v>75</v>
      </c>
      <c r="G5" s="2836" t="s">
        <v>92</v>
      </c>
      <c r="H5" s="2836" t="s">
        <v>93</v>
      </c>
      <c r="I5" s="2836" t="s">
        <v>8</v>
      </c>
      <c r="J5" s="2836" t="s">
        <v>9</v>
      </c>
      <c r="K5" s="2836" t="s">
        <v>10</v>
      </c>
      <c r="L5" s="2836" t="s">
        <v>11</v>
      </c>
      <c r="M5" s="2838" t="s">
        <v>86</v>
      </c>
      <c r="N5" s="2837" t="s">
        <v>12</v>
      </c>
      <c r="O5" s="2837" t="s">
        <v>72</v>
      </c>
      <c r="P5" s="2839" t="s">
        <v>1</v>
      </c>
      <c r="Q5" s="2837" t="s">
        <v>13</v>
      </c>
      <c r="R5" s="2837" t="s">
        <v>14</v>
      </c>
      <c r="S5" s="2837" t="s">
        <v>16</v>
      </c>
      <c r="T5" s="2837" t="s">
        <v>15</v>
      </c>
      <c r="U5" s="2837" t="s">
        <v>89</v>
      </c>
      <c r="V5" s="2839" t="s">
        <v>6</v>
      </c>
      <c r="W5" s="2839" t="s">
        <v>7</v>
      </c>
      <c r="X5" s="2837" t="s">
        <v>0</v>
      </c>
      <c r="Y5" s="2838" t="s">
        <v>76</v>
      </c>
    </row>
    <row r="6" spans="1:25" ht="42.75" customHeight="1">
      <c r="A6" s="2836"/>
      <c r="B6" s="2836"/>
      <c r="C6" s="2836"/>
      <c r="D6" s="2836"/>
      <c r="E6" s="2836"/>
      <c r="F6" s="2836"/>
      <c r="G6" s="2836"/>
      <c r="H6" s="2836"/>
      <c r="I6" s="2836"/>
      <c r="J6" s="2836"/>
      <c r="K6" s="2836"/>
      <c r="L6" s="2836"/>
      <c r="M6" s="2838"/>
      <c r="N6" s="2837"/>
      <c r="O6" s="2837"/>
      <c r="P6" s="2839"/>
      <c r="Q6" s="2837"/>
      <c r="R6" s="2837"/>
      <c r="S6" s="2837"/>
      <c r="T6" s="2837"/>
      <c r="U6" s="2837"/>
      <c r="V6" s="2839"/>
      <c r="W6" s="2839"/>
      <c r="X6" s="2837"/>
      <c r="Y6" s="2838"/>
    </row>
    <row r="7" spans="1:25">
      <c r="A7" s="1065"/>
      <c r="B7" s="1066">
        <v>51</v>
      </c>
      <c r="C7" s="1066" t="s">
        <v>100</v>
      </c>
      <c r="D7" s="1067" t="s">
        <v>134</v>
      </c>
      <c r="E7" s="1068"/>
      <c r="F7" s="1065"/>
      <c r="G7" s="1065"/>
      <c r="H7" s="1066"/>
      <c r="I7" s="1069"/>
      <c r="J7" s="1069"/>
      <c r="K7" s="1066"/>
      <c r="L7" s="1066"/>
      <c r="M7" s="1070"/>
      <c r="N7" s="1071"/>
      <c r="O7" s="1072"/>
      <c r="P7" s="1073"/>
      <c r="Q7" s="1073"/>
      <c r="R7" s="1073"/>
      <c r="S7" s="1073"/>
      <c r="T7" s="1073"/>
      <c r="U7" s="1073"/>
      <c r="V7" s="1073"/>
      <c r="W7" s="1073"/>
      <c r="X7" s="1073"/>
      <c r="Y7" s="1074"/>
    </row>
    <row r="8" spans="1:25">
      <c r="A8" s="1075"/>
      <c r="B8" s="1076">
        <v>5101</v>
      </c>
      <c r="C8" s="1076" t="s">
        <v>101</v>
      </c>
      <c r="D8" s="1077" t="s">
        <v>135</v>
      </c>
      <c r="E8" s="1077"/>
      <c r="F8" s="1075"/>
      <c r="G8" s="1075"/>
      <c r="H8" s="1076"/>
      <c r="I8" s="1078"/>
      <c r="J8" s="1078"/>
      <c r="K8" s="1076"/>
      <c r="L8" s="1076"/>
      <c r="M8" s="1079"/>
      <c r="N8" s="1080"/>
      <c r="O8" s="180"/>
      <c r="P8" s="1081"/>
      <c r="Q8" s="1081"/>
      <c r="R8" s="1081"/>
      <c r="S8" s="1081"/>
      <c r="T8" s="1081"/>
      <c r="U8" s="1081"/>
      <c r="V8" s="1081"/>
      <c r="W8" s="1081"/>
      <c r="X8" s="1081"/>
      <c r="Y8" s="1082"/>
    </row>
    <row r="9" spans="1:25">
      <c r="A9" s="1083"/>
      <c r="B9" s="1084">
        <v>5101001</v>
      </c>
      <c r="C9" s="1084" t="s">
        <v>102</v>
      </c>
      <c r="D9" s="1085" t="s">
        <v>136</v>
      </c>
      <c r="E9" s="1085"/>
      <c r="F9" s="1083"/>
      <c r="G9" s="1084"/>
      <c r="H9" s="1084"/>
      <c r="I9" s="1085"/>
      <c r="J9" s="1085"/>
      <c r="K9" s="1084"/>
      <c r="L9" s="1084"/>
      <c r="M9" s="1079"/>
      <c r="N9" s="1086"/>
      <c r="O9" s="1087"/>
      <c r="P9" s="1088"/>
      <c r="Q9" s="1081"/>
      <c r="R9" s="1081"/>
      <c r="S9" s="1081"/>
      <c r="T9" s="1081"/>
      <c r="U9" s="1081"/>
      <c r="V9" s="1081"/>
      <c r="W9" s="1081"/>
      <c r="X9" s="1081"/>
      <c r="Y9" s="1082"/>
    </row>
    <row r="10" spans="1:25">
      <c r="A10" s="1081"/>
      <c r="B10" s="1082">
        <v>51010010043</v>
      </c>
      <c r="C10" s="1082" t="s">
        <v>103</v>
      </c>
      <c r="D10" s="1089" t="s">
        <v>137</v>
      </c>
      <c r="E10" s="1089"/>
      <c r="F10" s="1082"/>
      <c r="G10" s="1090"/>
      <c r="H10" s="1090"/>
      <c r="I10" s="1089"/>
      <c r="J10" s="1089"/>
      <c r="K10" s="1090"/>
      <c r="L10" s="1090"/>
      <c r="M10" s="1079"/>
      <c r="N10" s="1091"/>
      <c r="O10" s="1092"/>
      <c r="P10" s="1088"/>
      <c r="Q10" s="1081"/>
      <c r="R10" s="1081"/>
      <c r="S10" s="1081"/>
      <c r="T10" s="1093"/>
      <c r="U10" s="1093"/>
      <c r="V10" s="224"/>
      <c r="W10" s="224"/>
      <c r="X10" s="1081"/>
      <c r="Y10" s="1082"/>
    </row>
    <row r="11" spans="1:25" ht="16.5" customHeight="1">
      <c r="A11" s="2909">
        <v>4132</v>
      </c>
      <c r="B11" s="2909"/>
      <c r="C11" s="2908" t="s">
        <v>109</v>
      </c>
      <c r="D11" s="2910" t="s">
        <v>139</v>
      </c>
      <c r="E11" s="1094" t="s">
        <v>138</v>
      </c>
      <c r="F11" s="1095"/>
      <c r="G11" s="472"/>
      <c r="H11" s="1095">
        <f>+H12</f>
        <v>1500</v>
      </c>
      <c r="I11" s="1096"/>
      <c r="J11" s="1096"/>
      <c r="K11" s="1095">
        <f>K12</f>
        <v>1500</v>
      </c>
      <c r="L11" s="1097">
        <f>+L12</f>
        <v>1</v>
      </c>
      <c r="M11" s="1098">
        <f t="shared" ref="M11:N11" si="0">M12</f>
        <v>1500</v>
      </c>
      <c r="N11" s="1099">
        <f t="shared" si="0"/>
        <v>0.9</v>
      </c>
      <c r="O11" s="2911">
        <f>IF(Q11&gt;0,N11,"NA")</f>
        <v>0.9</v>
      </c>
      <c r="P11" s="1100">
        <f t="shared" ref="P11:S11" si="1">P12</f>
        <v>167640000</v>
      </c>
      <c r="Q11" s="1100">
        <f t="shared" si="1"/>
        <v>2246303178</v>
      </c>
      <c r="R11" s="1100">
        <f t="shared" si="1"/>
        <v>979028263</v>
      </c>
      <c r="S11" s="1100">
        <f t="shared" si="1"/>
        <v>365302325</v>
      </c>
      <c r="T11" s="1101">
        <f t="shared" ref="T11:U12" si="2">+IF(Q11=0,0,R11/Q11)</f>
        <v>0.43583977113529243</v>
      </c>
      <c r="U11" s="1101">
        <f t="shared" si="2"/>
        <v>0.37312745587202728</v>
      </c>
      <c r="V11" s="1102"/>
      <c r="W11" s="1103"/>
      <c r="X11" s="472"/>
      <c r="Y11" s="2908" t="s">
        <v>141</v>
      </c>
    </row>
    <row r="12" spans="1:25" ht="94.5">
      <c r="A12" s="2851"/>
      <c r="B12" s="2851"/>
      <c r="C12" s="2851"/>
      <c r="D12" s="2851"/>
      <c r="E12" s="1096" t="s">
        <v>271</v>
      </c>
      <c r="F12" s="1104"/>
      <c r="G12" s="180" t="s">
        <v>137</v>
      </c>
      <c r="H12" s="1095">
        <v>1500</v>
      </c>
      <c r="I12" s="180" t="s">
        <v>309</v>
      </c>
      <c r="J12" s="180" t="s">
        <v>140</v>
      </c>
      <c r="K12" s="1104">
        <v>1500</v>
      </c>
      <c r="L12" s="1097">
        <v>1</v>
      </c>
      <c r="M12" s="1105">
        <v>1500</v>
      </c>
      <c r="N12" s="1099">
        <v>0.9</v>
      </c>
      <c r="O12" s="2851"/>
      <c r="P12" s="1100">
        <v>167640000</v>
      </c>
      <c r="Q12" s="1100">
        <v>2246303178</v>
      </c>
      <c r="R12" s="1100">
        <v>979028263</v>
      </c>
      <c r="S12" s="1100">
        <v>365302325</v>
      </c>
      <c r="T12" s="1101">
        <f t="shared" si="2"/>
        <v>0.43583977113529243</v>
      </c>
      <c r="U12" s="1101">
        <f t="shared" si="2"/>
        <v>0.37312745587202728</v>
      </c>
      <c r="V12" s="1102">
        <v>45325</v>
      </c>
      <c r="W12" s="1103">
        <v>45657</v>
      </c>
      <c r="X12" s="1106" t="s">
        <v>4758</v>
      </c>
      <c r="Y12" s="2851"/>
    </row>
    <row r="13" spans="1:25">
      <c r="A13" s="1081"/>
      <c r="B13" s="1082">
        <v>51010010049</v>
      </c>
      <c r="C13" s="1082" t="s">
        <v>103</v>
      </c>
      <c r="D13" s="1089" t="s">
        <v>142</v>
      </c>
      <c r="E13" s="1089"/>
      <c r="F13" s="1082"/>
      <c r="G13" s="1090"/>
      <c r="H13" s="1090"/>
      <c r="I13" s="1089"/>
      <c r="J13" s="1089"/>
      <c r="K13" s="1090"/>
      <c r="L13" s="1090"/>
      <c r="M13" s="1079"/>
      <c r="N13" s="1091"/>
      <c r="O13" s="1092"/>
      <c r="P13" s="1081"/>
      <c r="Q13" s="1081"/>
      <c r="R13" s="1081"/>
      <c r="S13" s="1081"/>
      <c r="T13" s="1093"/>
      <c r="U13" s="1093"/>
      <c r="V13" s="224"/>
      <c r="W13" s="224"/>
      <c r="X13" s="1103"/>
      <c r="Y13" s="1082"/>
    </row>
    <row r="14" spans="1:25" ht="16.5" customHeight="1">
      <c r="A14" s="2909">
        <v>4132</v>
      </c>
      <c r="B14" s="2908"/>
      <c r="C14" s="2908" t="s">
        <v>109</v>
      </c>
      <c r="D14" s="2910" t="s">
        <v>310</v>
      </c>
      <c r="E14" s="1094" t="s">
        <v>143</v>
      </c>
      <c r="F14" s="1104"/>
      <c r="G14" s="180"/>
      <c r="H14" s="1104"/>
      <c r="I14" s="180"/>
      <c r="J14" s="180"/>
      <c r="K14" s="1104">
        <f>+K16</f>
        <v>1</v>
      </c>
      <c r="L14" s="1097">
        <f>+L15+L16</f>
        <v>1</v>
      </c>
      <c r="M14" s="1098">
        <f>M15</f>
        <v>0</v>
      </c>
      <c r="N14" s="1099">
        <f>N15+N16</f>
        <v>0.432</v>
      </c>
      <c r="O14" s="2911">
        <f>IF(Q14&gt;0,N14,"na")</f>
        <v>0.432</v>
      </c>
      <c r="P14" s="1100">
        <f t="shared" ref="P14:S14" si="3">P15+P16</f>
        <v>450000000</v>
      </c>
      <c r="Q14" s="1100">
        <f t="shared" si="3"/>
        <v>450000000</v>
      </c>
      <c r="R14" s="1100">
        <f t="shared" si="3"/>
        <v>380104000</v>
      </c>
      <c r="S14" s="1100">
        <f t="shared" si="3"/>
        <v>264675000</v>
      </c>
      <c r="T14" s="1101">
        <f t="shared" ref="T14:U16" si="4">+IF(Q14=0,0,R14/Q14)</f>
        <v>0.84467555555555551</v>
      </c>
      <c r="U14" s="1101">
        <f t="shared" si="4"/>
        <v>0.69632258539768066</v>
      </c>
      <c r="V14" s="1102"/>
      <c r="W14" s="1103"/>
      <c r="X14" s="1081"/>
      <c r="Y14" s="2908" t="s">
        <v>141</v>
      </c>
    </row>
    <row r="15" spans="1:25" ht="67.5">
      <c r="A15" s="2850"/>
      <c r="B15" s="2850"/>
      <c r="C15" s="2850"/>
      <c r="D15" s="2850"/>
      <c r="E15" s="1096" t="s">
        <v>272</v>
      </c>
      <c r="F15" s="2909"/>
      <c r="G15" s="180"/>
      <c r="H15" s="1104"/>
      <c r="I15" s="180" t="s">
        <v>144</v>
      </c>
      <c r="J15" s="209" t="s">
        <v>145</v>
      </c>
      <c r="K15" s="1107">
        <v>1</v>
      </c>
      <c r="L15" s="1097">
        <v>0.17</v>
      </c>
      <c r="M15" s="1079">
        <v>0</v>
      </c>
      <c r="N15" s="1099">
        <v>1.7000000000000001E-2</v>
      </c>
      <c r="O15" s="2850"/>
      <c r="P15" s="1100">
        <v>141512000</v>
      </c>
      <c r="Q15" s="1100">
        <v>141512000</v>
      </c>
      <c r="R15" s="1100">
        <v>89276000</v>
      </c>
      <c r="S15" s="1100">
        <v>19117000</v>
      </c>
      <c r="T15" s="1101">
        <f t="shared" si="4"/>
        <v>0.63087229351574425</v>
      </c>
      <c r="U15" s="1101">
        <f t="shared" si="4"/>
        <v>0.2141336977463148</v>
      </c>
      <c r="V15" s="1087">
        <v>45328</v>
      </c>
      <c r="W15" s="1087">
        <v>45657</v>
      </c>
      <c r="X15" s="1108" t="s">
        <v>4759</v>
      </c>
      <c r="Y15" s="2850"/>
    </row>
    <row r="16" spans="1:25" ht="121.5">
      <c r="A16" s="2851"/>
      <c r="B16" s="2851"/>
      <c r="C16" s="2851"/>
      <c r="D16" s="2851"/>
      <c r="E16" s="1096" t="s">
        <v>273</v>
      </c>
      <c r="F16" s="2851"/>
      <c r="G16" s="180" t="s">
        <v>146</v>
      </c>
      <c r="H16" s="1104"/>
      <c r="I16" s="180" t="s">
        <v>147</v>
      </c>
      <c r="J16" s="209" t="s">
        <v>125</v>
      </c>
      <c r="K16" s="1107">
        <v>1</v>
      </c>
      <c r="L16" s="1097">
        <v>0.83</v>
      </c>
      <c r="M16" s="1079">
        <v>0</v>
      </c>
      <c r="N16" s="1099">
        <v>0.41499999999999998</v>
      </c>
      <c r="O16" s="2851"/>
      <c r="P16" s="1100">
        <v>308488000</v>
      </c>
      <c r="Q16" s="1100">
        <v>308488000</v>
      </c>
      <c r="R16" s="1100">
        <v>290828000</v>
      </c>
      <c r="S16" s="1100">
        <v>245558000</v>
      </c>
      <c r="T16" s="1101">
        <f t="shared" si="4"/>
        <v>0.9427530406369129</v>
      </c>
      <c r="U16" s="1101">
        <f t="shared" si="4"/>
        <v>0.84434098504958255</v>
      </c>
      <c r="V16" s="1087">
        <v>45328</v>
      </c>
      <c r="W16" s="1087">
        <v>45657</v>
      </c>
      <c r="X16" s="1109" t="s">
        <v>4760</v>
      </c>
      <c r="Y16" s="2851"/>
    </row>
    <row r="17" spans="1:25">
      <c r="A17" s="1075"/>
      <c r="B17" s="1076">
        <v>52</v>
      </c>
      <c r="C17" s="1076" t="s">
        <v>100</v>
      </c>
      <c r="D17" s="1078" t="s">
        <v>148</v>
      </c>
      <c r="E17" s="1077"/>
      <c r="F17" s="1075"/>
      <c r="G17" s="1075"/>
      <c r="H17" s="1076"/>
      <c r="I17" s="1078"/>
      <c r="J17" s="1078"/>
      <c r="K17" s="1076"/>
      <c r="L17" s="1076"/>
      <c r="M17" s="1081"/>
      <c r="N17" s="1110"/>
      <c r="O17" s="1101"/>
      <c r="P17" s="1081"/>
      <c r="Q17" s="1081"/>
      <c r="R17" s="1081"/>
      <c r="S17" s="1081"/>
      <c r="T17" s="1093"/>
      <c r="U17" s="1093"/>
      <c r="V17" s="226"/>
      <c r="W17" s="226"/>
      <c r="X17" s="1081"/>
      <c r="Y17" s="1082"/>
    </row>
    <row r="18" spans="1:25">
      <c r="A18" s="1075"/>
      <c r="B18" s="1076">
        <v>5203</v>
      </c>
      <c r="C18" s="1076" t="s">
        <v>101</v>
      </c>
      <c r="D18" s="1077" t="s">
        <v>149</v>
      </c>
      <c r="E18" s="1077"/>
      <c r="F18" s="1075"/>
      <c r="G18" s="1075"/>
      <c r="H18" s="1076"/>
      <c r="I18" s="1078"/>
      <c r="J18" s="1078"/>
      <c r="K18" s="1076"/>
      <c r="L18" s="1076"/>
      <c r="M18" s="1081"/>
      <c r="N18" s="1110"/>
      <c r="O18" s="1101"/>
      <c r="P18" s="1081"/>
      <c r="Q18" s="1081"/>
      <c r="R18"/>
      <c r="S18" s="1081"/>
      <c r="T18" s="1093"/>
      <c r="U18" s="1093"/>
      <c r="V18" s="226"/>
      <c r="W18" s="226"/>
      <c r="X18" s="1081"/>
      <c r="Y18" s="1082"/>
    </row>
    <row r="19" spans="1:25">
      <c r="A19" s="1083"/>
      <c r="B19" s="1084">
        <v>5203007</v>
      </c>
      <c r="C19" s="1084" t="s">
        <v>102</v>
      </c>
      <c r="D19" s="1085" t="s">
        <v>150</v>
      </c>
      <c r="E19" s="1085"/>
      <c r="F19" s="1083"/>
      <c r="G19" s="1084"/>
      <c r="H19" s="1084"/>
      <c r="I19" s="1085"/>
      <c r="J19" s="1085"/>
      <c r="K19" s="1084"/>
      <c r="L19" s="1084"/>
      <c r="M19" s="1081"/>
      <c r="N19" s="1110"/>
      <c r="O19" s="1101"/>
      <c r="P19" s="1081"/>
      <c r="Q19" s="1081"/>
      <c r="R19" s="1081"/>
      <c r="S19" s="1081"/>
      <c r="T19" s="1093"/>
      <c r="U19" s="1093"/>
      <c r="V19" s="210"/>
      <c r="W19" s="210"/>
      <c r="X19" s="1081"/>
      <c r="Y19" s="1082"/>
    </row>
    <row r="20" spans="1:25">
      <c r="A20" s="1081"/>
      <c r="B20" s="1082">
        <v>52030070008</v>
      </c>
      <c r="C20" s="1082" t="s">
        <v>103</v>
      </c>
      <c r="D20" s="1089">
        <v>7</v>
      </c>
      <c r="E20" s="1090"/>
      <c r="F20" s="1082"/>
      <c r="G20" s="1090"/>
      <c r="H20" s="1090"/>
      <c r="I20" s="1089"/>
      <c r="J20" s="1089"/>
      <c r="K20" s="1090"/>
      <c r="L20" s="1090"/>
      <c r="M20" s="1081"/>
      <c r="N20" s="1110"/>
      <c r="O20" s="1101"/>
      <c r="P20" s="1081"/>
      <c r="Q20" s="1081"/>
      <c r="R20" s="1081"/>
      <c r="S20" s="1081"/>
      <c r="T20" s="1093"/>
      <c r="U20" s="1093"/>
      <c r="V20" s="224"/>
      <c r="W20" s="224"/>
      <c r="X20" s="1081"/>
      <c r="Y20" s="1082"/>
    </row>
    <row r="21" spans="1:25" ht="16.5" customHeight="1">
      <c r="A21" s="2909">
        <v>4132</v>
      </c>
      <c r="B21" s="2908"/>
      <c r="C21" s="2908" t="s">
        <v>109</v>
      </c>
      <c r="D21" s="2910" t="s">
        <v>366</v>
      </c>
      <c r="E21" s="1107" t="s">
        <v>367</v>
      </c>
      <c r="F21" s="1105"/>
      <c r="G21" s="472"/>
      <c r="H21" s="1104"/>
      <c r="I21" s="180"/>
      <c r="J21" s="180"/>
      <c r="K21" s="1104">
        <f>K22</f>
        <v>40</v>
      </c>
      <c r="L21" s="1097">
        <f>+L22</f>
        <v>1</v>
      </c>
      <c r="M21" s="1098">
        <f t="shared" ref="M21:N21" si="5">M22</f>
        <v>7</v>
      </c>
      <c r="N21" s="1099">
        <f t="shared" si="5"/>
        <v>0.17499999999999999</v>
      </c>
      <c r="O21" s="2911">
        <f>IF(Q21&gt;0,N21,"NA")</f>
        <v>0.17499999999999999</v>
      </c>
      <c r="P21" s="1100">
        <f t="shared" ref="P21:S21" si="6">P22</f>
        <v>1850000000</v>
      </c>
      <c r="Q21" s="1100">
        <f t="shared" si="6"/>
        <v>4120000000</v>
      </c>
      <c r="R21" s="1100">
        <f t="shared" si="6"/>
        <v>2347913500</v>
      </c>
      <c r="S21" s="1100">
        <f t="shared" si="6"/>
        <v>689156500</v>
      </c>
      <c r="T21" s="1101">
        <f t="shared" ref="T21:U22" si="7">+IF(Q21=0,0,R21/Q21)</f>
        <v>0.56988191747572814</v>
      </c>
      <c r="U21" s="1101">
        <f t="shared" si="7"/>
        <v>0.29351869223461596</v>
      </c>
      <c r="V21" s="1102"/>
      <c r="W21" s="1103"/>
      <c r="X21" s="1081"/>
      <c r="Y21" s="2908" t="s">
        <v>141</v>
      </c>
    </row>
    <row r="22" spans="1:25" ht="148.5">
      <c r="A22" s="2851"/>
      <c r="B22" s="2851"/>
      <c r="C22" s="2851"/>
      <c r="D22" s="2851"/>
      <c r="E22" s="1094" t="s">
        <v>368</v>
      </c>
      <c r="F22" s="1105"/>
      <c r="G22" s="209" t="s">
        <v>151</v>
      </c>
      <c r="H22" s="1104">
        <v>7</v>
      </c>
      <c r="I22" s="180" t="s">
        <v>369</v>
      </c>
      <c r="J22" s="180" t="s">
        <v>152</v>
      </c>
      <c r="K22" s="1104">
        <v>40</v>
      </c>
      <c r="L22" s="1097">
        <v>1</v>
      </c>
      <c r="M22" s="1105">
        <v>7</v>
      </c>
      <c r="N22" s="1099">
        <v>0.17499999999999999</v>
      </c>
      <c r="O22" s="2851"/>
      <c r="P22" s="1100">
        <v>1850000000</v>
      </c>
      <c r="Q22" s="1100">
        <v>4120000000</v>
      </c>
      <c r="R22" s="1100">
        <v>2347913500</v>
      </c>
      <c r="S22" s="1100">
        <v>689156500</v>
      </c>
      <c r="T22" s="1101">
        <f t="shared" si="7"/>
        <v>0.56988191747572814</v>
      </c>
      <c r="U22" s="1101">
        <f t="shared" si="7"/>
        <v>0.29351869223461596</v>
      </c>
      <c r="V22" s="1102">
        <v>45339</v>
      </c>
      <c r="W22" s="1103">
        <v>45657</v>
      </c>
      <c r="X22" s="1111" t="s">
        <v>4761</v>
      </c>
      <c r="Y22" s="2851"/>
    </row>
    <row r="23" spans="1:25">
      <c r="A23" s="2909">
        <v>4132</v>
      </c>
      <c r="B23" s="1090">
        <v>52030070010</v>
      </c>
      <c r="C23" s="1090" t="s">
        <v>103</v>
      </c>
      <c r="D23" s="1089" t="s">
        <v>153</v>
      </c>
      <c r="E23" s="1112"/>
      <c r="F23" s="1113"/>
      <c r="G23" s="1088"/>
      <c r="H23" s="1081"/>
      <c r="I23" s="1114"/>
      <c r="J23" s="1114"/>
      <c r="K23" s="1082"/>
      <c r="L23" s="1081"/>
      <c r="M23" s="1081"/>
      <c r="N23" s="1110"/>
      <c r="O23" s="1101"/>
      <c r="P23" s="1081"/>
      <c r="Q23" s="1081"/>
      <c r="R23" s="1081"/>
      <c r="S23" s="1081"/>
      <c r="T23" s="1093"/>
      <c r="U23" s="1093"/>
      <c r="V23" s="227"/>
      <c r="W23" s="227"/>
      <c r="X23" s="1081"/>
      <c r="Y23" s="1082"/>
    </row>
    <row r="24" spans="1:25" ht="16.5" customHeight="1">
      <c r="A24" s="2850"/>
      <c r="B24" s="2909"/>
      <c r="C24" s="2909" t="s">
        <v>109</v>
      </c>
      <c r="D24" s="2910" t="s">
        <v>311</v>
      </c>
      <c r="E24" s="1094" t="s">
        <v>154</v>
      </c>
      <c r="F24" s="1104"/>
      <c r="G24" s="209"/>
      <c r="H24" s="1104"/>
      <c r="I24" s="1115"/>
      <c r="J24" s="1115"/>
      <c r="K24" s="1095">
        <f>K25</f>
        <v>2</v>
      </c>
      <c r="L24" s="1097">
        <f>+L25</f>
        <v>1</v>
      </c>
      <c r="M24" s="1098">
        <f t="shared" ref="M24:N24" si="8">M25</f>
        <v>0</v>
      </c>
      <c r="N24" s="1099">
        <f t="shared" si="8"/>
        <v>5.0000000000000001E-3</v>
      </c>
      <c r="O24" s="2911">
        <f>IF(Q24&gt;0,N24,"NA")</f>
        <v>5.0000000000000001E-3</v>
      </c>
      <c r="P24" s="1100">
        <f t="shared" ref="P24:S24" si="9">P25</f>
        <v>350000000</v>
      </c>
      <c r="Q24" s="1100">
        <f t="shared" si="9"/>
        <v>640000000</v>
      </c>
      <c r="R24" s="1100">
        <f t="shared" si="9"/>
        <v>15693000</v>
      </c>
      <c r="S24" s="1100">
        <f t="shared" si="9"/>
        <v>15693000</v>
      </c>
      <c r="T24" s="1101">
        <f t="shared" ref="T24:U25" si="10">+IF(Q24=0,0,R24/Q24)</f>
        <v>2.4520312499999999E-2</v>
      </c>
      <c r="U24" s="1101">
        <f t="shared" si="10"/>
        <v>1</v>
      </c>
      <c r="V24" s="1102"/>
      <c r="W24" s="1103"/>
      <c r="X24" s="1081"/>
      <c r="Y24" s="2908" t="s">
        <v>155</v>
      </c>
    </row>
    <row r="25" spans="1:25" ht="162">
      <c r="A25" s="2851"/>
      <c r="B25" s="2851"/>
      <c r="C25" s="2851"/>
      <c r="D25" s="2851"/>
      <c r="E25" s="1096" t="s">
        <v>274</v>
      </c>
      <c r="F25" s="1104"/>
      <c r="G25" s="180" t="s">
        <v>153</v>
      </c>
      <c r="H25" s="1104"/>
      <c r="I25" s="1115" t="s">
        <v>312</v>
      </c>
      <c r="J25" s="1115" t="s">
        <v>156</v>
      </c>
      <c r="K25" s="1104">
        <v>2</v>
      </c>
      <c r="L25" s="1097">
        <v>1</v>
      </c>
      <c r="M25" s="1105">
        <v>0</v>
      </c>
      <c r="N25" s="1099">
        <v>5.0000000000000001E-3</v>
      </c>
      <c r="O25" s="2851"/>
      <c r="P25" s="1100">
        <v>350000000</v>
      </c>
      <c r="Q25" s="1100">
        <v>640000000</v>
      </c>
      <c r="R25" s="1100">
        <v>15693000</v>
      </c>
      <c r="S25" s="1100">
        <v>15693000</v>
      </c>
      <c r="T25" s="1101">
        <f t="shared" si="10"/>
        <v>2.4520312499999999E-2</v>
      </c>
      <c r="U25" s="1101">
        <f t="shared" si="10"/>
        <v>1</v>
      </c>
      <c r="V25" s="1102">
        <v>45342</v>
      </c>
      <c r="W25" s="1103">
        <v>45657</v>
      </c>
      <c r="X25" s="209" t="s">
        <v>4762</v>
      </c>
      <c r="Y25" s="2851"/>
    </row>
    <row r="26" spans="1:25">
      <c r="A26" s="1081"/>
      <c r="B26" s="1082">
        <v>52030070012</v>
      </c>
      <c r="C26" s="1082" t="s">
        <v>103</v>
      </c>
      <c r="D26" s="1089" t="s">
        <v>157</v>
      </c>
      <c r="E26" s="1089"/>
      <c r="F26" s="1082"/>
      <c r="G26" s="1090"/>
      <c r="H26" s="1090"/>
      <c r="I26" s="1089"/>
      <c r="J26" s="1089"/>
      <c r="K26" s="1090"/>
      <c r="L26" s="1090"/>
      <c r="M26" s="1081"/>
      <c r="N26" s="1110"/>
      <c r="O26" s="1101"/>
      <c r="P26" s="1081"/>
      <c r="Q26" s="1081"/>
      <c r="R26" s="1081"/>
      <c r="S26" s="1081"/>
      <c r="T26" s="1093"/>
      <c r="U26" s="1093"/>
      <c r="V26" s="224"/>
      <c r="W26" s="224"/>
      <c r="X26" s="1081"/>
      <c r="Y26" s="1082"/>
    </row>
    <row r="27" spans="1:25" ht="16.5" customHeight="1">
      <c r="A27" s="2909">
        <v>4132</v>
      </c>
      <c r="B27" s="2908"/>
      <c r="C27" s="2908" t="s">
        <v>109</v>
      </c>
      <c r="D27" s="2910" t="s">
        <v>159</v>
      </c>
      <c r="E27" s="1107" t="s">
        <v>158</v>
      </c>
      <c r="F27" s="1104"/>
      <c r="G27" s="180"/>
      <c r="H27" s="1104"/>
      <c r="I27" s="180"/>
      <c r="J27" s="180"/>
      <c r="K27" s="1104">
        <f>+K28</f>
        <v>1</v>
      </c>
      <c r="L27" s="1097">
        <f t="shared" ref="L27:N27" si="11">L28</f>
        <v>1</v>
      </c>
      <c r="M27" s="1098">
        <f t="shared" si="11"/>
        <v>0</v>
      </c>
      <c r="N27" s="1099">
        <f t="shared" si="11"/>
        <v>0.2</v>
      </c>
      <c r="O27" s="2911">
        <f>IF(Q27&gt;0,N27,"NA")</f>
        <v>0.2</v>
      </c>
      <c r="P27" s="1100">
        <f t="shared" ref="P27:S27" si="12">P28</f>
        <v>350000000</v>
      </c>
      <c r="Q27" s="1100">
        <f t="shared" si="12"/>
        <v>350000000</v>
      </c>
      <c r="R27" s="1100">
        <f t="shared" si="12"/>
        <v>127910500</v>
      </c>
      <c r="S27" s="1100">
        <f t="shared" si="12"/>
        <v>96670500</v>
      </c>
      <c r="T27" s="1101">
        <f t="shared" ref="T27:U28" si="13">+IF(Q27=0,0,R27/Q27)</f>
        <v>0.36545857142857141</v>
      </c>
      <c r="U27" s="1101">
        <f t="shared" si="13"/>
        <v>0.75576672751650564</v>
      </c>
      <c r="V27" s="1102"/>
      <c r="W27" s="1103"/>
      <c r="X27" s="1081"/>
      <c r="Y27" s="2908" t="s">
        <v>141</v>
      </c>
    </row>
    <row r="28" spans="1:25" ht="121.5">
      <c r="A28" s="2851"/>
      <c r="B28" s="2851"/>
      <c r="C28" s="2851"/>
      <c r="D28" s="2851"/>
      <c r="E28" s="1096" t="s">
        <v>275</v>
      </c>
      <c r="F28" s="1104"/>
      <c r="G28" s="180" t="s">
        <v>157</v>
      </c>
      <c r="H28" s="1104"/>
      <c r="I28" s="180" t="s">
        <v>313</v>
      </c>
      <c r="J28" s="180" t="s">
        <v>160</v>
      </c>
      <c r="K28" s="1104">
        <v>1</v>
      </c>
      <c r="L28" s="1097">
        <v>1</v>
      </c>
      <c r="M28" s="1105">
        <v>0</v>
      </c>
      <c r="N28" s="1099">
        <v>0.2</v>
      </c>
      <c r="O28" s="2851"/>
      <c r="P28" s="1100">
        <v>350000000</v>
      </c>
      <c r="Q28" s="1100">
        <v>350000000</v>
      </c>
      <c r="R28" s="1100">
        <v>127910500</v>
      </c>
      <c r="S28" s="1100">
        <v>96670500</v>
      </c>
      <c r="T28" s="1101">
        <f t="shared" si="13"/>
        <v>0.36545857142857141</v>
      </c>
      <c r="U28" s="1101">
        <f t="shared" si="13"/>
        <v>0.75576672751650564</v>
      </c>
      <c r="V28" s="1102">
        <v>45343</v>
      </c>
      <c r="W28" s="1103">
        <v>45657</v>
      </c>
      <c r="X28" s="1116" t="s">
        <v>4763</v>
      </c>
      <c r="Y28" s="2851"/>
    </row>
    <row r="29" spans="1:25">
      <c r="A29" s="1117"/>
      <c r="B29" s="1084">
        <v>5203008</v>
      </c>
      <c r="C29" s="1084" t="s">
        <v>102</v>
      </c>
      <c r="D29" s="1085" t="s">
        <v>161</v>
      </c>
      <c r="E29" s="1118"/>
      <c r="F29" s="1119"/>
      <c r="G29" s="1120"/>
      <c r="H29" s="1121"/>
      <c r="I29" s="1122"/>
      <c r="J29" s="1122"/>
      <c r="K29" s="1123"/>
      <c r="L29" s="1124"/>
      <c r="M29" s="1081"/>
      <c r="N29" s="1110"/>
      <c r="O29" s="1101"/>
      <c r="P29" s="1081"/>
      <c r="Q29" s="1081"/>
      <c r="R29" s="1081"/>
      <c r="S29" s="1081"/>
      <c r="T29" s="1093"/>
      <c r="U29" s="1093"/>
      <c r="V29" s="1125"/>
      <c r="W29" s="1125"/>
      <c r="X29" s="1126"/>
      <c r="Y29" s="1082"/>
    </row>
    <row r="30" spans="1:25">
      <c r="A30" s="1081"/>
      <c r="B30" s="1082">
        <v>52030080010</v>
      </c>
      <c r="C30" s="1082" t="s">
        <v>103</v>
      </c>
      <c r="D30" s="1089" t="s">
        <v>162</v>
      </c>
      <c r="E30" s="1089"/>
      <c r="F30" s="1082"/>
      <c r="G30" s="1090"/>
      <c r="H30" s="1090"/>
      <c r="I30" s="1089"/>
      <c r="J30" s="1089"/>
      <c r="K30" s="1090"/>
      <c r="L30" s="1090"/>
      <c r="M30" s="1081"/>
      <c r="N30" s="1110"/>
      <c r="O30" s="1101"/>
      <c r="P30" s="1081"/>
      <c r="Q30" s="1081"/>
      <c r="R30" s="1081"/>
      <c r="S30" s="1081"/>
      <c r="T30" s="1093"/>
      <c r="U30" s="1093"/>
      <c r="V30" s="224"/>
      <c r="W30" s="224"/>
      <c r="X30" s="1081"/>
      <c r="Y30" s="1082"/>
    </row>
    <row r="31" spans="1:25" ht="16.5" customHeight="1">
      <c r="A31" s="2909">
        <v>4132</v>
      </c>
      <c r="B31" s="2908"/>
      <c r="C31" s="2909" t="s">
        <v>109</v>
      </c>
      <c r="D31" s="2910" t="s">
        <v>163</v>
      </c>
      <c r="E31" s="1094" t="s">
        <v>164</v>
      </c>
      <c r="F31" s="1104"/>
      <c r="G31" s="180"/>
      <c r="H31" s="1104"/>
      <c r="I31" s="1115"/>
      <c r="J31" s="1115"/>
      <c r="K31" s="1095">
        <f t="shared" ref="K31:N31" si="14">K32</f>
        <v>1</v>
      </c>
      <c r="L31" s="1127">
        <f t="shared" si="14"/>
        <v>1</v>
      </c>
      <c r="M31" s="1098">
        <f t="shared" si="14"/>
        <v>0</v>
      </c>
      <c r="N31" s="1099">
        <f t="shared" si="14"/>
        <v>5.0000000000000001E-3</v>
      </c>
      <c r="O31" s="2911">
        <f>IF(Q31&gt;0,N31,"NA")</f>
        <v>5.0000000000000001E-3</v>
      </c>
      <c r="P31" s="1100">
        <f t="shared" ref="P31:S31" si="15">P32</f>
        <v>350000000</v>
      </c>
      <c r="Q31" s="1100">
        <f t="shared" si="15"/>
        <v>591807000</v>
      </c>
      <c r="R31" s="1100">
        <f t="shared" si="15"/>
        <v>71427000</v>
      </c>
      <c r="S31" s="1100">
        <f t="shared" si="15"/>
        <v>71427000</v>
      </c>
      <c r="T31" s="1101">
        <f t="shared" ref="T31:U32" si="16">+IF(Q31=0,0,R31/Q31)</f>
        <v>0.1206930637859978</v>
      </c>
      <c r="U31" s="1101">
        <f t="shared" si="16"/>
        <v>1</v>
      </c>
      <c r="V31" s="1102"/>
      <c r="W31" s="1103"/>
      <c r="X31" s="1081"/>
      <c r="Y31" s="2908" t="s">
        <v>155</v>
      </c>
    </row>
    <row r="32" spans="1:25" ht="108">
      <c r="A32" s="2851"/>
      <c r="B32" s="2851"/>
      <c r="C32" s="2851"/>
      <c r="D32" s="2851"/>
      <c r="E32" s="1096" t="s">
        <v>276</v>
      </c>
      <c r="F32" s="1104"/>
      <c r="G32" s="180" t="s">
        <v>162</v>
      </c>
      <c r="H32" s="1104"/>
      <c r="I32" s="1115" t="s">
        <v>370</v>
      </c>
      <c r="J32" s="1115" t="s">
        <v>156</v>
      </c>
      <c r="K32" s="1095">
        <v>1</v>
      </c>
      <c r="L32" s="1127">
        <v>1</v>
      </c>
      <c r="M32" s="1105">
        <v>0</v>
      </c>
      <c r="N32" s="1099">
        <v>5.0000000000000001E-3</v>
      </c>
      <c r="O32" s="2851"/>
      <c r="P32" s="1100">
        <v>350000000</v>
      </c>
      <c r="Q32" s="1100">
        <v>591807000</v>
      </c>
      <c r="R32" s="1100">
        <v>71427000</v>
      </c>
      <c r="S32" s="1100">
        <v>71427000</v>
      </c>
      <c r="T32" s="1101">
        <f t="shared" si="16"/>
        <v>0.1206930637859978</v>
      </c>
      <c r="U32" s="1101">
        <f t="shared" si="16"/>
        <v>1</v>
      </c>
      <c r="V32" s="1102">
        <v>45342</v>
      </c>
      <c r="W32" s="1103">
        <v>45657</v>
      </c>
      <c r="X32" s="253" t="s">
        <v>4764</v>
      </c>
      <c r="Y32" s="2851"/>
    </row>
    <row r="33" spans="1:25">
      <c r="A33" s="1117"/>
      <c r="B33" s="1084">
        <v>5203009</v>
      </c>
      <c r="C33" s="1084" t="s">
        <v>102</v>
      </c>
      <c r="D33" s="1085" t="s">
        <v>165</v>
      </c>
      <c r="E33" s="1085"/>
      <c r="F33" s="1128"/>
      <c r="G33" s="1085"/>
      <c r="H33" s="1128"/>
      <c r="I33" s="1085"/>
      <c r="J33" s="1085"/>
      <c r="K33" s="1128"/>
      <c r="L33" s="1129"/>
      <c r="M33" s="1081"/>
      <c r="N33" s="1110"/>
      <c r="O33" s="1101"/>
      <c r="P33" s="1081"/>
      <c r="Q33" s="1081"/>
      <c r="R33" s="1081"/>
      <c r="S33" s="1081"/>
      <c r="T33" s="1093"/>
      <c r="U33" s="1093"/>
      <c r="V33" s="1130"/>
      <c r="W33" s="1130"/>
      <c r="X33" s="1081"/>
      <c r="Y33" s="1082"/>
    </row>
    <row r="34" spans="1:25">
      <c r="A34" s="1081"/>
      <c r="B34" s="1082">
        <v>52030090006</v>
      </c>
      <c r="C34" s="1082" t="s">
        <v>103</v>
      </c>
      <c r="D34" s="1089" t="s">
        <v>166</v>
      </c>
      <c r="E34" s="1089"/>
      <c r="F34" s="1082"/>
      <c r="G34" s="1090"/>
      <c r="H34" s="1090"/>
      <c r="I34" s="1089"/>
      <c r="J34" s="1089"/>
      <c r="K34" s="1090"/>
      <c r="L34" s="1090"/>
      <c r="M34" s="1081"/>
      <c r="N34" s="1110"/>
      <c r="O34" s="1101"/>
      <c r="P34" s="1081"/>
      <c r="Q34" s="1081"/>
      <c r="R34" s="1081"/>
      <c r="S34" s="1081"/>
      <c r="T34" s="1093"/>
      <c r="U34" s="1093"/>
      <c r="V34" s="224"/>
      <c r="W34" s="224"/>
      <c r="X34" s="1081"/>
      <c r="Y34" s="1082"/>
    </row>
    <row r="35" spans="1:25" ht="16.5" customHeight="1">
      <c r="A35" s="2909">
        <v>4132</v>
      </c>
      <c r="B35" s="2908"/>
      <c r="C35" s="2908" t="s">
        <v>109</v>
      </c>
      <c r="D35" s="2910" t="s">
        <v>167</v>
      </c>
      <c r="E35" s="1107" t="s">
        <v>168</v>
      </c>
      <c r="F35" s="1104"/>
      <c r="G35" s="180"/>
      <c r="H35" s="1104"/>
      <c r="I35" s="180"/>
      <c r="J35" s="180"/>
      <c r="K35" s="1104">
        <v>1</v>
      </c>
      <c r="L35" s="1097">
        <f>L37</f>
        <v>0.5</v>
      </c>
      <c r="M35" s="1098">
        <f t="shared" ref="M35:N35" si="17">+M36+M37</f>
        <v>0</v>
      </c>
      <c r="N35" s="1131">
        <f t="shared" si="17"/>
        <v>1.6999999999999999E-3</v>
      </c>
      <c r="O35" s="2927">
        <f>IF(Q35&gt;0,N35,"NA")</f>
        <v>1.6999999999999999E-3</v>
      </c>
      <c r="P35" s="1100">
        <f t="shared" ref="P35:S35" si="18">+P36+P37</f>
        <v>1500000000</v>
      </c>
      <c r="Q35" s="1100">
        <f t="shared" si="18"/>
        <v>1319497000</v>
      </c>
      <c r="R35" s="1100">
        <f t="shared" si="18"/>
        <v>215041000</v>
      </c>
      <c r="S35" s="1100">
        <f t="shared" si="18"/>
        <v>91463000</v>
      </c>
      <c r="T35" s="1101">
        <f t="shared" ref="T35:U37" si="19">+IF(Q35=0,0,R35/Q35)</f>
        <v>0.16297195067514364</v>
      </c>
      <c r="U35" s="1101">
        <f t="shared" si="19"/>
        <v>0.42532819322826809</v>
      </c>
      <c r="V35" s="1102"/>
      <c r="W35" s="1103"/>
      <c r="X35" s="1081"/>
      <c r="Y35" s="2908" t="s">
        <v>155</v>
      </c>
    </row>
    <row r="36" spans="1:25" ht="67.5">
      <c r="A36" s="2850"/>
      <c r="B36" s="2850"/>
      <c r="C36" s="2850"/>
      <c r="D36" s="2850"/>
      <c r="E36" s="180" t="s">
        <v>277</v>
      </c>
      <c r="F36" s="1104"/>
      <c r="G36" s="180" t="s">
        <v>169</v>
      </c>
      <c r="H36" s="1104"/>
      <c r="I36" s="180" t="s">
        <v>371</v>
      </c>
      <c r="J36" s="180" t="s">
        <v>170</v>
      </c>
      <c r="K36" s="1104">
        <v>1</v>
      </c>
      <c r="L36" s="1097">
        <v>0.5</v>
      </c>
      <c r="M36" s="1098">
        <v>0</v>
      </c>
      <c r="N36" s="1132">
        <v>1.1999999999999999E-3</v>
      </c>
      <c r="O36" s="2850"/>
      <c r="P36" s="1100">
        <v>529000000</v>
      </c>
      <c r="Q36" s="1100">
        <v>829497000</v>
      </c>
      <c r="R36" s="1100">
        <v>134535750</v>
      </c>
      <c r="S36" s="1100">
        <v>72441750</v>
      </c>
      <c r="T36" s="1101">
        <f t="shared" si="19"/>
        <v>0.16218955583926162</v>
      </c>
      <c r="U36" s="1101">
        <f t="shared" si="19"/>
        <v>0.53845725021044588</v>
      </c>
      <c r="V36" s="1102">
        <v>45342</v>
      </c>
      <c r="W36" s="1103">
        <v>45657</v>
      </c>
      <c r="X36" s="180" t="s">
        <v>4765</v>
      </c>
      <c r="Y36" s="2850"/>
    </row>
    <row r="37" spans="1:25" ht="67.5">
      <c r="A37" s="2851"/>
      <c r="B37" s="2851"/>
      <c r="C37" s="2851"/>
      <c r="D37" s="2851"/>
      <c r="E37" s="1096" t="s">
        <v>372</v>
      </c>
      <c r="F37" s="1104"/>
      <c r="G37" s="209"/>
      <c r="H37" s="1104"/>
      <c r="I37" s="180" t="s">
        <v>373</v>
      </c>
      <c r="J37" s="180" t="s">
        <v>374</v>
      </c>
      <c r="K37" s="1104">
        <v>1</v>
      </c>
      <c r="L37" s="1097">
        <v>0.5</v>
      </c>
      <c r="M37" s="1105">
        <v>0</v>
      </c>
      <c r="N37" s="1132">
        <v>5.0000000000000001E-4</v>
      </c>
      <c r="O37" s="2851"/>
      <c r="P37" s="1100">
        <v>971000000</v>
      </c>
      <c r="Q37" s="1100">
        <v>490000000</v>
      </c>
      <c r="R37" s="1100">
        <v>80505250</v>
      </c>
      <c r="S37" s="1100">
        <v>19021250</v>
      </c>
      <c r="T37" s="1101">
        <f t="shared" si="19"/>
        <v>0.16429642857142857</v>
      </c>
      <c r="U37" s="1101">
        <f t="shared" si="19"/>
        <v>0.23627341074029334</v>
      </c>
      <c r="V37" s="1102">
        <v>45342</v>
      </c>
      <c r="W37" s="1103">
        <v>45657</v>
      </c>
      <c r="X37" s="180" t="s">
        <v>4766</v>
      </c>
      <c r="Y37" s="2851"/>
    </row>
    <row r="38" spans="1:25">
      <c r="A38" s="1117"/>
      <c r="B38" s="1084">
        <v>5205001</v>
      </c>
      <c r="C38" s="1084" t="s">
        <v>102</v>
      </c>
      <c r="D38" s="1085" t="s">
        <v>171</v>
      </c>
      <c r="E38" s="1085"/>
      <c r="F38" s="1128"/>
      <c r="G38" s="1085"/>
      <c r="H38" s="1128"/>
      <c r="I38" s="1120"/>
      <c r="J38" s="1120"/>
      <c r="K38" s="1128"/>
      <c r="L38" s="1129"/>
      <c r="M38" s="1081"/>
      <c r="N38" s="1110"/>
      <c r="O38" s="1101"/>
      <c r="P38" s="1081"/>
      <c r="Q38" s="1081"/>
      <c r="R38" s="1133"/>
      <c r="S38" s="1081"/>
      <c r="T38" s="1093"/>
      <c r="U38" s="1093"/>
      <c r="V38" s="210"/>
      <c r="W38" s="210"/>
      <c r="X38" s="1134"/>
      <c r="Y38" s="1082"/>
    </row>
    <row r="39" spans="1:25" ht="25.5">
      <c r="A39" s="1081"/>
      <c r="B39" s="1082">
        <v>52050010008</v>
      </c>
      <c r="C39" s="1082" t="s">
        <v>103</v>
      </c>
      <c r="D39" s="1089" t="s">
        <v>314</v>
      </c>
      <c r="E39" s="1089"/>
      <c r="F39" s="1082"/>
      <c r="G39" s="1090"/>
      <c r="H39" s="1090"/>
      <c r="I39" s="1089"/>
      <c r="J39" s="1089"/>
      <c r="K39" s="1090"/>
      <c r="L39" s="1090"/>
      <c r="M39" s="1081"/>
      <c r="N39" s="1110"/>
      <c r="O39" s="1101"/>
      <c r="P39" s="1081"/>
      <c r="Q39" s="1081"/>
      <c r="R39" s="1081"/>
      <c r="S39" s="1081"/>
      <c r="T39" s="1093"/>
      <c r="U39" s="1093"/>
      <c r="V39" s="224"/>
      <c r="W39" s="224"/>
      <c r="X39" s="1081"/>
      <c r="Y39" s="1082"/>
    </row>
    <row r="40" spans="1:25" ht="16.5" customHeight="1">
      <c r="A40" s="2909">
        <v>4132</v>
      </c>
      <c r="B40" s="2908"/>
      <c r="C40" s="2908" t="s">
        <v>109</v>
      </c>
      <c r="D40" s="2913" t="s">
        <v>375</v>
      </c>
      <c r="E40" s="1107" t="s">
        <v>347</v>
      </c>
      <c r="F40" s="1104"/>
      <c r="G40" s="1107"/>
      <c r="H40" s="1104"/>
      <c r="I40" s="180"/>
      <c r="J40" s="180"/>
      <c r="K40" s="1104">
        <f t="shared" ref="K40:N40" si="20">K41</f>
        <v>1</v>
      </c>
      <c r="L40" s="1097">
        <f t="shared" si="20"/>
        <v>1</v>
      </c>
      <c r="M40" s="1098">
        <f t="shared" si="20"/>
        <v>0</v>
      </c>
      <c r="N40" s="1099">
        <f t="shared" si="20"/>
        <v>8.5000000000000006E-2</v>
      </c>
      <c r="O40" s="2911">
        <f>IF(Q40&gt;0,N40,"NA")</f>
        <v>8.5000000000000006E-2</v>
      </c>
      <c r="P40" s="1100">
        <f t="shared" ref="P40:S40" si="21">P41</f>
        <v>1000000000</v>
      </c>
      <c r="Q40" s="1100">
        <f t="shared" si="21"/>
        <v>126800000</v>
      </c>
      <c r="R40" s="1100">
        <f t="shared" si="21"/>
        <v>73617000</v>
      </c>
      <c r="S40" s="1100">
        <f t="shared" si="21"/>
        <v>50537000</v>
      </c>
      <c r="T40" s="1101">
        <f t="shared" ref="T40:U41" si="22">+IF(Q40=0,0,R40/Q40)</f>
        <v>0.58057570977917983</v>
      </c>
      <c r="U40" s="1101">
        <f t="shared" si="22"/>
        <v>0.68648545852180887</v>
      </c>
      <c r="V40" s="1102"/>
      <c r="W40" s="1103"/>
      <c r="X40" s="209"/>
      <c r="Y40" s="2908" t="s">
        <v>155</v>
      </c>
    </row>
    <row r="41" spans="1:25" ht="148.5" customHeight="1">
      <c r="A41" s="2851"/>
      <c r="B41" s="2851"/>
      <c r="C41" s="2851"/>
      <c r="D41" s="2851"/>
      <c r="E41" s="1096" t="s">
        <v>348</v>
      </c>
      <c r="F41" s="1105"/>
      <c r="G41" s="180" t="s">
        <v>315</v>
      </c>
      <c r="H41" s="1104"/>
      <c r="I41" s="180" t="s">
        <v>349</v>
      </c>
      <c r="J41" s="180" t="s">
        <v>174</v>
      </c>
      <c r="K41" s="1104">
        <v>1</v>
      </c>
      <c r="L41" s="1097">
        <v>1</v>
      </c>
      <c r="M41" s="1105">
        <v>0</v>
      </c>
      <c r="N41" s="1099">
        <v>8.5000000000000006E-2</v>
      </c>
      <c r="O41" s="2851"/>
      <c r="P41" s="1100">
        <v>1000000000</v>
      </c>
      <c r="Q41" s="1100">
        <v>126800000</v>
      </c>
      <c r="R41" s="1100">
        <v>73617000</v>
      </c>
      <c r="S41" s="1100">
        <v>50537000</v>
      </c>
      <c r="T41" s="1101">
        <f t="shared" si="22"/>
        <v>0.58057570977917983</v>
      </c>
      <c r="U41" s="1101">
        <f t="shared" si="22"/>
        <v>0.68648545852180887</v>
      </c>
      <c r="V41" s="1102">
        <v>45324</v>
      </c>
      <c r="W41" s="1103">
        <v>45657</v>
      </c>
      <c r="X41" s="180" t="s">
        <v>4767</v>
      </c>
      <c r="Y41" s="2851"/>
    </row>
    <row r="42" spans="1:25" ht="25.5">
      <c r="A42" s="1135"/>
      <c r="B42" s="1090">
        <v>52050010010</v>
      </c>
      <c r="C42" s="1090" t="s">
        <v>103</v>
      </c>
      <c r="D42" s="1088" t="s">
        <v>316</v>
      </c>
      <c r="E42" s="1136"/>
      <c r="F42" s="1137"/>
      <c r="G42" s="1136"/>
      <c r="H42" s="1136"/>
      <c r="I42" s="1136"/>
      <c r="J42" s="1136"/>
      <c r="K42" s="1136"/>
      <c r="L42" s="1136"/>
      <c r="M42" s="1136"/>
      <c r="N42" s="1138"/>
      <c r="O42" s="1138"/>
      <c r="P42" s="1136"/>
      <c r="Q42" s="1136"/>
      <c r="R42" s="1136"/>
      <c r="S42" s="1136"/>
      <c r="T42" s="1138"/>
      <c r="U42" s="1138"/>
      <c r="V42" s="1136"/>
      <c r="W42" s="1136"/>
      <c r="X42" s="1136"/>
      <c r="Y42" s="1136"/>
    </row>
    <row r="43" spans="1:25" ht="16.5" customHeight="1">
      <c r="A43" s="2909">
        <v>4132</v>
      </c>
      <c r="B43" s="2908"/>
      <c r="C43" s="2908" t="s">
        <v>109</v>
      </c>
      <c r="D43" s="2913" t="s">
        <v>172</v>
      </c>
      <c r="E43" s="1107" t="s">
        <v>173</v>
      </c>
      <c r="F43" s="1104"/>
      <c r="G43" s="1136"/>
      <c r="H43" s="1139"/>
      <c r="I43" s="1136"/>
      <c r="J43" s="1136"/>
      <c r="K43" s="1104">
        <f>K44</f>
        <v>40</v>
      </c>
      <c r="L43" s="1132">
        <f>+L44+L45</f>
        <v>1</v>
      </c>
      <c r="M43" s="1140">
        <v>0</v>
      </c>
      <c r="N43" s="1092">
        <f>+N44+N45</f>
        <v>6.0000000000000005E-2</v>
      </c>
      <c r="O43" s="2911">
        <f>IF(Q43&gt;0,N43,"NA")</f>
        <v>6.0000000000000005E-2</v>
      </c>
      <c r="P43" s="1100">
        <f t="shared" ref="P43:S43" si="23">P44+P45</f>
        <v>600000000</v>
      </c>
      <c r="Q43" s="1100">
        <f t="shared" si="23"/>
        <v>1240000000</v>
      </c>
      <c r="R43" s="1100">
        <f t="shared" si="23"/>
        <v>101843497</v>
      </c>
      <c r="S43" s="1100">
        <f t="shared" si="23"/>
        <v>59995497</v>
      </c>
      <c r="T43" s="1101">
        <f t="shared" ref="T43:U45" si="24">+IF(Q43=0,0,R43/Q43)</f>
        <v>8.2131852419354834E-2</v>
      </c>
      <c r="U43" s="1101">
        <f t="shared" si="24"/>
        <v>0.58909502096142674</v>
      </c>
      <c r="V43" s="1136"/>
      <c r="W43" s="1136"/>
      <c r="X43" s="1136"/>
      <c r="Y43" s="2908" t="s">
        <v>155</v>
      </c>
    </row>
    <row r="44" spans="1:25" ht="270">
      <c r="A44" s="2850"/>
      <c r="B44" s="2850"/>
      <c r="C44" s="2850"/>
      <c r="D44" s="2850"/>
      <c r="E44" s="1096" t="s">
        <v>278</v>
      </c>
      <c r="F44" s="2912"/>
      <c r="G44" s="209" t="s">
        <v>317</v>
      </c>
      <c r="H44" s="1139"/>
      <c r="I44" s="209" t="s">
        <v>376</v>
      </c>
      <c r="J44" s="209" t="s">
        <v>174</v>
      </c>
      <c r="K44" s="1107">
        <v>40</v>
      </c>
      <c r="L44" s="1141">
        <v>0.9</v>
      </c>
      <c r="M44" s="1140">
        <v>0</v>
      </c>
      <c r="N44" s="1092">
        <v>0.05</v>
      </c>
      <c r="O44" s="2850"/>
      <c r="P44" s="1142">
        <v>570000000</v>
      </c>
      <c r="Q44" s="1142">
        <v>1210000000</v>
      </c>
      <c r="R44" s="1142">
        <v>87468497</v>
      </c>
      <c r="S44" s="1142">
        <v>55620497</v>
      </c>
      <c r="T44" s="1101">
        <f t="shared" si="24"/>
        <v>7.2288014049586777E-2</v>
      </c>
      <c r="U44" s="1101">
        <f t="shared" si="24"/>
        <v>0.63589176569479633</v>
      </c>
      <c r="V44" s="1102">
        <v>45324</v>
      </c>
      <c r="W44" s="1103">
        <v>45657</v>
      </c>
      <c r="X44" s="1143" t="s">
        <v>4768</v>
      </c>
      <c r="Y44" s="2850"/>
    </row>
    <row r="45" spans="1:25" ht="81">
      <c r="A45" s="2851"/>
      <c r="B45" s="2851"/>
      <c r="C45" s="2851"/>
      <c r="D45" s="2851"/>
      <c r="E45" s="1096" t="s">
        <v>377</v>
      </c>
      <c r="F45" s="2851"/>
      <c r="G45" s="1136"/>
      <c r="H45" s="1136"/>
      <c r="I45" s="209" t="s">
        <v>378</v>
      </c>
      <c r="J45" s="209" t="s">
        <v>118</v>
      </c>
      <c r="K45" s="1107">
        <v>1</v>
      </c>
      <c r="L45" s="1141">
        <v>0.1</v>
      </c>
      <c r="M45" s="1140">
        <v>0</v>
      </c>
      <c r="N45" s="1092">
        <v>0.01</v>
      </c>
      <c r="O45" s="2851"/>
      <c r="P45" s="1142">
        <v>30000000</v>
      </c>
      <c r="Q45" s="1142">
        <v>30000000</v>
      </c>
      <c r="R45" s="1142">
        <v>14375000</v>
      </c>
      <c r="S45" s="1142">
        <v>4375000</v>
      </c>
      <c r="T45" s="1101">
        <f t="shared" si="24"/>
        <v>0.47916666666666669</v>
      </c>
      <c r="U45" s="1101">
        <f t="shared" si="24"/>
        <v>0.30434782608695654</v>
      </c>
      <c r="V45" s="1102">
        <v>45324</v>
      </c>
      <c r="W45" s="1103">
        <v>45657</v>
      </c>
      <c r="X45" s="1143" t="s">
        <v>4769</v>
      </c>
      <c r="Y45" s="2851"/>
    </row>
    <row r="46" spans="1:25">
      <c r="A46" s="1075"/>
      <c r="B46" s="1076">
        <v>53</v>
      </c>
      <c r="C46" s="1076" t="s">
        <v>100</v>
      </c>
      <c r="D46" s="1078" t="s">
        <v>175</v>
      </c>
      <c r="E46" s="1077"/>
      <c r="F46" s="1144"/>
      <c r="G46" s="1145"/>
      <c r="H46" s="1144"/>
      <c r="I46" s="1077"/>
      <c r="J46" s="1077"/>
      <c r="K46" s="1144"/>
      <c r="L46" s="1146"/>
      <c r="M46" s="1081"/>
      <c r="N46" s="1110"/>
      <c r="O46" s="1101"/>
      <c r="P46" s="1081"/>
      <c r="Q46" s="1081"/>
      <c r="R46" s="1081"/>
      <c r="S46" s="1081"/>
      <c r="T46" s="1093"/>
      <c r="U46" s="1093"/>
      <c r="V46" s="1147"/>
      <c r="W46" s="1147"/>
      <c r="X46" s="1081"/>
      <c r="Y46" s="1082"/>
    </row>
    <row r="47" spans="1:25">
      <c r="A47" s="1075"/>
      <c r="B47" s="1145">
        <v>5302</v>
      </c>
      <c r="C47" s="1145" t="s">
        <v>101</v>
      </c>
      <c r="D47" s="1077" t="s">
        <v>176</v>
      </c>
      <c r="E47" s="1077"/>
      <c r="F47" s="1144"/>
      <c r="G47" s="1145"/>
      <c r="H47" s="1144"/>
      <c r="I47" s="1077"/>
      <c r="J47" s="1077"/>
      <c r="K47" s="1144"/>
      <c r="L47" s="1146"/>
      <c r="M47" s="1081"/>
      <c r="N47" s="1110"/>
      <c r="O47" s="1101"/>
      <c r="P47" s="1081"/>
      <c r="Q47" s="1081"/>
      <c r="R47" s="1081"/>
      <c r="S47" s="1081"/>
      <c r="T47" s="1093"/>
      <c r="U47" s="1093"/>
      <c r="V47" s="1147"/>
      <c r="W47" s="1147"/>
      <c r="X47" s="1081"/>
      <c r="Y47" s="1082"/>
    </row>
    <row r="48" spans="1:25">
      <c r="A48" s="1083"/>
      <c r="B48" s="1084">
        <v>5302001</v>
      </c>
      <c r="C48" s="1084" t="s">
        <v>102</v>
      </c>
      <c r="D48" s="1085" t="s">
        <v>177</v>
      </c>
      <c r="E48" s="1085"/>
      <c r="F48" s="1128"/>
      <c r="G48" s="1084"/>
      <c r="H48" s="1128"/>
      <c r="I48" s="1085"/>
      <c r="J48" s="1085"/>
      <c r="K48" s="1128"/>
      <c r="L48" s="1129"/>
      <c r="M48" s="1081"/>
      <c r="N48" s="1110"/>
      <c r="O48" s="1101"/>
      <c r="P48" s="1081"/>
      <c r="Q48" s="1081"/>
      <c r="R48" s="1081"/>
      <c r="S48" s="1081"/>
      <c r="T48" s="1093"/>
      <c r="U48" s="1093"/>
      <c r="V48" s="210"/>
      <c r="W48" s="210"/>
      <c r="X48" s="1081"/>
      <c r="Y48" s="1082"/>
    </row>
    <row r="49" spans="1:25" ht="38.25">
      <c r="A49" s="1081"/>
      <c r="B49" s="1082">
        <v>53020010010</v>
      </c>
      <c r="C49" s="1082" t="s">
        <v>103</v>
      </c>
      <c r="D49" s="1089" t="s">
        <v>178</v>
      </c>
      <c r="E49" s="1089"/>
      <c r="F49" s="1082"/>
      <c r="G49" s="1090"/>
      <c r="H49" s="1090"/>
      <c r="I49" s="1089"/>
      <c r="J49" s="1089"/>
      <c r="K49" s="1090"/>
      <c r="L49" s="1090"/>
      <c r="M49" s="1081"/>
      <c r="N49" s="1110"/>
      <c r="O49" s="1101"/>
      <c r="P49" s="1081"/>
      <c r="Q49" s="1081"/>
      <c r="R49" s="1081"/>
      <c r="S49" s="1081"/>
      <c r="T49" s="1093"/>
      <c r="U49" s="1093"/>
      <c r="V49" s="224"/>
      <c r="W49" s="224"/>
      <c r="X49" s="1081"/>
      <c r="Y49" s="1082"/>
    </row>
    <row r="50" spans="1:25" ht="16.5" customHeight="1">
      <c r="A50" s="2909">
        <v>4132</v>
      </c>
      <c r="B50" s="2908"/>
      <c r="C50" s="2908" t="s">
        <v>109</v>
      </c>
      <c r="D50" s="2913" t="s">
        <v>179</v>
      </c>
      <c r="E50" s="1107" t="s">
        <v>180</v>
      </c>
      <c r="F50" s="1105"/>
      <c r="G50" s="1107"/>
      <c r="H50" s="1104"/>
      <c r="I50" s="180"/>
      <c r="J50" s="180"/>
      <c r="K50" s="1104">
        <f t="shared" ref="K50:N50" si="25">K51</f>
        <v>1</v>
      </c>
      <c r="L50" s="1097">
        <f t="shared" si="25"/>
        <v>1</v>
      </c>
      <c r="M50" s="1097">
        <f t="shared" si="25"/>
        <v>0</v>
      </c>
      <c r="N50" s="1099">
        <f t="shared" si="25"/>
        <v>0.3</v>
      </c>
      <c r="O50" s="2911">
        <f>IF(Q50&gt;0,N50,"NA")</f>
        <v>0.3</v>
      </c>
      <c r="P50" s="1100">
        <f t="shared" ref="P50:S50" si="26">P51</f>
        <v>1000000000</v>
      </c>
      <c r="Q50" s="1100">
        <f t="shared" si="26"/>
        <v>600000000</v>
      </c>
      <c r="R50" s="1100">
        <f t="shared" si="26"/>
        <v>401555000</v>
      </c>
      <c r="S50" s="1100">
        <f t="shared" si="26"/>
        <v>232164000</v>
      </c>
      <c r="T50" s="1101">
        <f t="shared" ref="T50:U51" si="27">+IF(Q50=0,0,R50/Q50)</f>
        <v>0.66925833333333329</v>
      </c>
      <c r="U50" s="1101">
        <f t="shared" si="27"/>
        <v>0.57816239369451261</v>
      </c>
      <c r="V50" s="1102"/>
      <c r="W50" s="1103"/>
      <c r="X50" s="1081"/>
      <c r="Y50" s="2908" t="s">
        <v>155</v>
      </c>
    </row>
    <row r="51" spans="1:25" ht="135">
      <c r="A51" s="2851"/>
      <c r="B51" s="2851"/>
      <c r="C51" s="2851"/>
      <c r="D51" s="2851"/>
      <c r="E51" s="1096" t="s">
        <v>279</v>
      </c>
      <c r="F51" s="1105"/>
      <c r="G51" s="180" t="s">
        <v>178</v>
      </c>
      <c r="H51" s="1104"/>
      <c r="I51" s="180" t="s">
        <v>318</v>
      </c>
      <c r="J51" s="180" t="s">
        <v>107</v>
      </c>
      <c r="K51" s="1104">
        <v>1</v>
      </c>
      <c r="L51" s="1097">
        <v>1</v>
      </c>
      <c r="M51" s="1105">
        <v>0</v>
      </c>
      <c r="N51" s="1099">
        <v>0.3</v>
      </c>
      <c r="O51" s="2851"/>
      <c r="P51" s="1100">
        <v>1000000000</v>
      </c>
      <c r="Q51" s="1100">
        <v>600000000</v>
      </c>
      <c r="R51" s="1100">
        <v>401555000</v>
      </c>
      <c r="S51" s="1100">
        <v>232164000</v>
      </c>
      <c r="T51" s="1101">
        <f t="shared" si="27"/>
        <v>0.66925833333333329</v>
      </c>
      <c r="U51" s="1101">
        <f t="shared" si="27"/>
        <v>0.57816239369451261</v>
      </c>
      <c r="V51" s="1102">
        <v>45341</v>
      </c>
      <c r="W51" s="1103">
        <v>45657</v>
      </c>
      <c r="X51" s="209" t="s">
        <v>4770</v>
      </c>
      <c r="Y51" s="2851"/>
    </row>
    <row r="52" spans="1:25">
      <c r="A52" s="1076"/>
      <c r="B52" s="1145">
        <v>5304</v>
      </c>
      <c r="C52" s="1145" t="s">
        <v>101</v>
      </c>
      <c r="D52" s="1077" t="s">
        <v>181</v>
      </c>
      <c r="E52" s="1077"/>
      <c r="F52" s="1144"/>
      <c r="G52" s="1148"/>
      <c r="H52" s="1144"/>
      <c r="I52" s="1077"/>
      <c r="J52" s="1077"/>
      <c r="K52" s="1144"/>
      <c r="L52" s="1146"/>
      <c r="M52" s="1081"/>
      <c r="N52" s="1110"/>
      <c r="O52" s="1101"/>
      <c r="P52" s="1081"/>
      <c r="Q52" s="1081"/>
      <c r="R52" s="1081"/>
      <c r="S52" s="1081"/>
      <c r="T52" s="1093"/>
      <c r="U52" s="1093"/>
      <c r="V52" s="1147"/>
      <c r="W52" s="1147"/>
      <c r="X52" s="1081"/>
      <c r="Y52" s="1082"/>
    </row>
    <row r="53" spans="1:25">
      <c r="A53" s="1117"/>
      <c r="B53" s="1084">
        <v>5304005</v>
      </c>
      <c r="C53" s="1084" t="s">
        <v>102</v>
      </c>
      <c r="D53" s="1085" t="s">
        <v>182</v>
      </c>
      <c r="E53" s="1085"/>
      <c r="F53" s="1128"/>
      <c r="G53" s="1120"/>
      <c r="H53" s="1128"/>
      <c r="I53" s="1085"/>
      <c r="J53" s="1085"/>
      <c r="K53" s="1128"/>
      <c r="L53" s="1129"/>
      <c r="M53" s="1081"/>
      <c r="N53" s="1110"/>
      <c r="O53" s="1101"/>
      <c r="P53" s="1081"/>
      <c r="Q53" s="1081"/>
      <c r="R53" s="1081"/>
      <c r="S53" s="1081"/>
      <c r="T53" s="1093"/>
      <c r="U53" s="1093"/>
      <c r="V53" s="210"/>
      <c r="W53" s="210"/>
      <c r="X53" s="1081"/>
      <c r="Y53" s="1082"/>
    </row>
    <row r="54" spans="1:25">
      <c r="A54" s="1081"/>
      <c r="B54" s="1082">
        <v>53040050012</v>
      </c>
      <c r="C54" s="1082" t="s">
        <v>103</v>
      </c>
      <c r="D54" s="1089" t="s">
        <v>183</v>
      </c>
      <c r="E54" s="1089"/>
      <c r="F54" s="1082"/>
      <c r="G54" s="1090"/>
      <c r="H54" s="1090"/>
      <c r="I54" s="1089"/>
      <c r="J54" s="1089"/>
      <c r="K54" s="1090"/>
      <c r="L54" s="1090"/>
      <c r="M54" s="1081"/>
      <c r="N54" s="1110"/>
      <c r="O54" s="1101"/>
      <c r="P54" s="1081"/>
      <c r="Q54" s="1081"/>
      <c r="R54" s="1081"/>
      <c r="S54" s="1081"/>
      <c r="T54" s="1093"/>
      <c r="U54" s="1093"/>
      <c r="V54" s="224"/>
      <c r="W54" s="224"/>
      <c r="X54" s="1081"/>
      <c r="Y54" s="1082"/>
    </row>
    <row r="55" spans="1:25" ht="16.5" customHeight="1">
      <c r="A55" s="2909">
        <v>4132</v>
      </c>
      <c r="B55" s="2908"/>
      <c r="C55" s="2908" t="s">
        <v>109</v>
      </c>
      <c r="D55" s="2910" t="s">
        <v>184</v>
      </c>
      <c r="E55" s="1107" t="s">
        <v>185</v>
      </c>
      <c r="F55" s="1104"/>
      <c r="G55" s="209"/>
      <c r="H55" s="1104"/>
      <c r="I55" s="180"/>
      <c r="J55" s="180"/>
      <c r="K55" s="1104">
        <f>+K58</f>
        <v>1</v>
      </c>
      <c r="L55" s="1097">
        <f t="shared" ref="L55:N55" si="28">+L56+L57+L58</f>
        <v>1</v>
      </c>
      <c r="M55" s="1098">
        <f t="shared" si="28"/>
        <v>0</v>
      </c>
      <c r="N55" s="1099">
        <f t="shared" si="28"/>
        <v>0.1</v>
      </c>
      <c r="O55" s="2911">
        <f>IF(Q55&gt;0,N55,"na")</f>
        <v>0.1</v>
      </c>
      <c r="P55" s="1100">
        <f>+P56+P57+P58</f>
        <v>300000000</v>
      </c>
      <c r="Q55" s="1100">
        <f>Q56+Q58+Q57</f>
        <v>300000000</v>
      </c>
      <c r="R55" s="1100">
        <f t="shared" ref="R55:S55" si="29">R56+R58</f>
        <v>80700500</v>
      </c>
      <c r="S55" s="1100">
        <f t="shared" si="29"/>
        <v>36696500</v>
      </c>
      <c r="T55" s="1101">
        <f t="shared" ref="T55:U58" si="30">+IF(Q55=0,0,R55/Q55)</f>
        <v>0.26900166666666664</v>
      </c>
      <c r="U55" s="1101">
        <f t="shared" si="30"/>
        <v>0.4547245680014374</v>
      </c>
      <c r="V55" s="1102"/>
      <c r="W55" s="1103"/>
      <c r="X55" s="1081"/>
      <c r="Y55" s="2908" t="s">
        <v>155</v>
      </c>
    </row>
    <row r="56" spans="1:25" ht="27">
      <c r="A56" s="2850"/>
      <c r="B56" s="2850"/>
      <c r="C56" s="2850"/>
      <c r="D56" s="2850"/>
      <c r="E56" s="1096" t="s">
        <v>379</v>
      </c>
      <c r="F56" s="1104"/>
      <c r="G56" s="233"/>
      <c r="H56" s="1104"/>
      <c r="I56" s="180" t="s">
        <v>380</v>
      </c>
      <c r="J56" s="180" t="s">
        <v>381</v>
      </c>
      <c r="K56" s="1104">
        <v>1</v>
      </c>
      <c r="L56" s="1097">
        <v>0.3</v>
      </c>
      <c r="M56" s="1105">
        <v>0</v>
      </c>
      <c r="N56" s="1099">
        <v>0</v>
      </c>
      <c r="O56" s="2850"/>
      <c r="P56" s="1100">
        <v>65000000</v>
      </c>
      <c r="Q56" s="1100">
        <v>65000000</v>
      </c>
      <c r="R56" s="1100">
        <v>0</v>
      </c>
      <c r="S56" s="1100">
        <v>0</v>
      </c>
      <c r="T56" s="1101">
        <f t="shared" si="30"/>
        <v>0</v>
      </c>
      <c r="U56" s="1101">
        <f t="shared" si="30"/>
        <v>0</v>
      </c>
      <c r="V56" s="1102"/>
      <c r="W56" s="1103"/>
      <c r="X56" s="180"/>
      <c r="Y56" s="2850"/>
    </row>
    <row r="57" spans="1:25" ht="27">
      <c r="A57" s="2850"/>
      <c r="B57" s="2850"/>
      <c r="C57" s="2850"/>
      <c r="D57" s="2850"/>
      <c r="E57" s="1096" t="s">
        <v>280</v>
      </c>
      <c r="F57" s="2912"/>
      <c r="G57" s="233"/>
      <c r="H57" s="1104"/>
      <c r="I57" s="180" t="s">
        <v>382</v>
      </c>
      <c r="J57" s="180" t="s">
        <v>319</v>
      </c>
      <c r="K57" s="1104">
        <v>1</v>
      </c>
      <c r="L57" s="1097">
        <v>0.3</v>
      </c>
      <c r="M57" s="1105">
        <v>0</v>
      </c>
      <c r="N57" s="1099">
        <v>0</v>
      </c>
      <c r="O57" s="2850"/>
      <c r="P57" s="1100">
        <v>33240000</v>
      </c>
      <c r="Q57" s="1100">
        <v>33240000</v>
      </c>
      <c r="R57" s="1100">
        <v>0</v>
      </c>
      <c r="S57" s="1100">
        <v>0</v>
      </c>
      <c r="T57" s="1101">
        <f t="shared" si="30"/>
        <v>0</v>
      </c>
      <c r="U57" s="1101">
        <f t="shared" si="30"/>
        <v>0</v>
      </c>
      <c r="V57" s="1102"/>
      <c r="W57" s="1103"/>
      <c r="X57" s="180"/>
      <c r="Y57" s="2850"/>
    </row>
    <row r="58" spans="1:25" ht="94.5">
      <c r="A58" s="2851"/>
      <c r="B58" s="2851"/>
      <c r="C58" s="2851"/>
      <c r="D58" s="2851"/>
      <c r="E58" s="1096" t="s">
        <v>281</v>
      </c>
      <c r="F58" s="2851"/>
      <c r="G58" s="209" t="s">
        <v>186</v>
      </c>
      <c r="H58" s="1104"/>
      <c r="I58" s="180" t="s">
        <v>383</v>
      </c>
      <c r="J58" s="180" t="s">
        <v>320</v>
      </c>
      <c r="K58" s="1104">
        <v>1</v>
      </c>
      <c r="L58" s="1097">
        <v>0.4</v>
      </c>
      <c r="M58" s="1105">
        <v>0</v>
      </c>
      <c r="N58" s="1099">
        <v>0.1</v>
      </c>
      <c r="O58" s="2851"/>
      <c r="P58" s="1100">
        <v>201760000</v>
      </c>
      <c r="Q58" s="1100">
        <v>201760000</v>
      </c>
      <c r="R58" s="1100">
        <v>80700500</v>
      </c>
      <c r="S58" s="1100">
        <v>36696500</v>
      </c>
      <c r="T58" s="1101">
        <f t="shared" si="30"/>
        <v>0.39998265265662175</v>
      </c>
      <c r="U58" s="1101">
        <f t="shared" si="30"/>
        <v>0.4547245680014374</v>
      </c>
      <c r="V58" s="1102">
        <v>45349</v>
      </c>
      <c r="W58" s="1103">
        <v>45657</v>
      </c>
      <c r="X58" s="1099" t="s">
        <v>4771</v>
      </c>
      <c r="Y58" s="2851"/>
    </row>
    <row r="59" spans="1:25">
      <c r="A59" s="1075"/>
      <c r="B59" s="1076">
        <v>53</v>
      </c>
      <c r="C59" s="1076" t="s">
        <v>100</v>
      </c>
      <c r="D59" s="1078" t="s">
        <v>175</v>
      </c>
      <c r="E59" s="1077"/>
      <c r="F59" s="1144"/>
      <c r="G59" s="1145"/>
      <c r="H59" s="1144"/>
      <c r="I59" s="1077"/>
      <c r="J59" s="1077"/>
      <c r="K59" s="1144"/>
      <c r="L59" s="1146"/>
      <c r="M59" s="1146"/>
      <c r="N59" s="1110"/>
      <c r="O59" s="1101"/>
      <c r="P59" s="1081"/>
      <c r="Q59" s="1081"/>
      <c r="R59" s="230"/>
      <c r="S59" s="1081"/>
      <c r="T59" s="1093"/>
      <c r="U59" s="1093"/>
      <c r="V59" s="1147"/>
      <c r="W59" s="1147"/>
      <c r="X59" s="1081"/>
      <c r="Y59" s="1082"/>
    </row>
    <row r="60" spans="1:25">
      <c r="A60" s="1076"/>
      <c r="B60" s="1145">
        <v>5305</v>
      </c>
      <c r="C60" s="1145" t="s">
        <v>101</v>
      </c>
      <c r="D60" s="1077" t="s">
        <v>252</v>
      </c>
      <c r="E60" s="1077"/>
      <c r="F60" s="1144"/>
      <c r="G60" s="1148"/>
      <c r="H60" s="1144"/>
      <c r="I60" s="1077"/>
      <c r="J60" s="1077"/>
      <c r="K60" s="1144"/>
      <c r="L60" s="1146"/>
      <c r="M60" s="1146"/>
      <c r="N60" s="1110"/>
      <c r="O60" s="1101"/>
      <c r="P60" s="1081"/>
      <c r="Q60" s="1081"/>
      <c r="R60" s="1081"/>
      <c r="S60" s="1081"/>
      <c r="T60" s="1093"/>
      <c r="U60" s="1093"/>
      <c r="V60" s="1147"/>
      <c r="W60" s="1147"/>
      <c r="X60" s="1081"/>
      <c r="Y60" s="1082"/>
    </row>
    <row r="61" spans="1:25">
      <c r="A61" s="1117"/>
      <c r="B61" s="1084">
        <v>5305001</v>
      </c>
      <c r="C61" s="1084" t="s">
        <v>102</v>
      </c>
      <c r="D61" s="1085" t="s">
        <v>321</v>
      </c>
      <c r="E61" s="1085"/>
      <c r="F61" s="1128"/>
      <c r="G61" s="1120"/>
      <c r="H61" s="1083"/>
      <c r="I61" s="1085"/>
      <c r="J61" s="1085"/>
      <c r="K61" s="1117"/>
      <c r="L61" s="1083"/>
      <c r="M61" s="1083"/>
      <c r="N61" s="1110"/>
      <c r="O61" s="1101"/>
      <c r="P61" s="1081"/>
      <c r="Q61" s="1081"/>
      <c r="R61" s="1081"/>
      <c r="S61" s="1081"/>
      <c r="T61" s="1093"/>
      <c r="U61" s="1093"/>
      <c r="V61" s="231"/>
      <c r="W61" s="231"/>
      <c r="X61" s="1081"/>
      <c r="Y61" s="1082"/>
    </row>
    <row r="62" spans="1:25">
      <c r="A62" s="1081"/>
      <c r="B62" s="1082">
        <v>53050010007</v>
      </c>
      <c r="C62" s="1082" t="s">
        <v>103</v>
      </c>
      <c r="D62" s="1089" t="s">
        <v>323</v>
      </c>
      <c r="E62" s="1089"/>
      <c r="F62" s="1149"/>
      <c r="G62" s="1090"/>
      <c r="H62" s="1090"/>
      <c r="I62" s="1089"/>
      <c r="J62" s="1089"/>
      <c r="K62" s="1090"/>
      <c r="L62" s="1090"/>
      <c r="M62" s="1146"/>
      <c r="N62" s="1110"/>
      <c r="O62" s="1101"/>
      <c r="P62" s="1081"/>
      <c r="Q62" s="1081"/>
      <c r="R62" s="1081"/>
      <c r="S62" s="1081"/>
      <c r="T62" s="1093"/>
      <c r="U62" s="1093"/>
      <c r="V62" s="224"/>
      <c r="W62" s="224"/>
      <c r="X62" s="1081"/>
      <c r="Y62" s="1082"/>
    </row>
    <row r="63" spans="1:25" ht="16.5" customHeight="1">
      <c r="A63" s="2909">
        <v>4132</v>
      </c>
      <c r="B63" s="2908"/>
      <c r="C63" s="2908" t="s">
        <v>109</v>
      </c>
      <c r="D63" s="2910" t="s">
        <v>324</v>
      </c>
      <c r="E63" s="1107" t="s">
        <v>325</v>
      </c>
      <c r="F63" s="1104"/>
      <c r="G63" s="209"/>
      <c r="H63" s="1139"/>
      <c r="I63" s="180"/>
      <c r="J63" s="180"/>
      <c r="K63" s="1104">
        <f>K65</f>
        <v>470</v>
      </c>
      <c r="L63" s="1097">
        <v>1</v>
      </c>
      <c r="M63" s="1098">
        <f t="shared" ref="M63:N63" si="31">+M64+M65</f>
        <v>216</v>
      </c>
      <c r="N63" s="1099">
        <f t="shared" si="31"/>
        <v>0.21299999999999999</v>
      </c>
      <c r="O63" s="2911">
        <f>IF(Q63&gt;0,N63,"NA")</f>
        <v>0.21299999999999999</v>
      </c>
      <c r="P63" s="1100">
        <f t="shared" ref="P63:S63" si="32">+P64+P65</f>
        <v>500000000</v>
      </c>
      <c r="Q63" s="1100">
        <f t="shared" si="32"/>
        <v>620000000</v>
      </c>
      <c r="R63" s="1100">
        <f t="shared" si="32"/>
        <v>150939000</v>
      </c>
      <c r="S63" s="1100">
        <f t="shared" si="32"/>
        <v>78624000</v>
      </c>
      <c r="T63" s="1101">
        <f t="shared" ref="T63:U65" si="33">+IF(Q63=0,0,R63/Q63)</f>
        <v>0.24345</v>
      </c>
      <c r="U63" s="1101">
        <f t="shared" si="33"/>
        <v>0.52089917118836082</v>
      </c>
      <c r="V63" s="1102"/>
      <c r="W63" s="1103"/>
      <c r="X63" s="1081"/>
      <c r="Y63" s="2908" t="s">
        <v>155</v>
      </c>
    </row>
    <row r="64" spans="1:25" ht="108">
      <c r="A64" s="2850"/>
      <c r="B64" s="2850"/>
      <c r="C64" s="2850"/>
      <c r="D64" s="2850"/>
      <c r="E64" s="180" t="s">
        <v>384</v>
      </c>
      <c r="F64" s="1104"/>
      <c r="G64" s="209" t="s">
        <v>323</v>
      </c>
      <c r="H64" s="1139"/>
      <c r="I64" s="180" t="s">
        <v>385</v>
      </c>
      <c r="J64" s="180" t="s">
        <v>322</v>
      </c>
      <c r="K64" s="1104">
        <v>1</v>
      </c>
      <c r="L64" s="1097">
        <v>0.93</v>
      </c>
      <c r="M64" s="1098"/>
      <c r="N64" s="1099">
        <v>0.18</v>
      </c>
      <c r="O64" s="2850"/>
      <c r="P64" s="1100">
        <v>465600000</v>
      </c>
      <c r="Q64" s="1100">
        <v>585600000</v>
      </c>
      <c r="R64" s="1100">
        <v>121215750</v>
      </c>
      <c r="S64" s="1100">
        <v>60592625</v>
      </c>
      <c r="T64" s="1101">
        <f t="shared" si="33"/>
        <v>0.20699410860655737</v>
      </c>
      <c r="U64" s="1101">
        <f t="shared" si="33"/>
        <v>0.49987419126639898</v>
      </c>
      <c r="V64" s="1102">
        <v>45342</v>
      </c>
      <c r="W64" s="1103">
        <v>45657</v>
      </c>
      <c r="X64" s="180" t="s">
        <v>4772</v>
      </c>
      <c r="Y64" s="2850"/>
    </row>
    <row r="65" spans="1:25" ht="67.5">
      <c r="A65" s="2851"/>
      <c r="B65" s="2851"/>
      <c r="C65" s="2851"/>
      <c r="D65" s="2851"/>
      <c r="E65" s="1096" t="s">
        <v>326</v>
      </c>
      <c r="F65" s="1104"/>
      <c r="G65" s="209"/>
      <c r="H65" s="1139"/>
      <c r="I65" s="209" t="s">
        <v>327</v>
      </c>
      <c r="J65" s="180" t="s">
        <v>174</v>
      </c>
      <c r="K65" s="1104">
        <v>470</v>
      </c>
      <c r="L65" s="1097">
        <v>7.0000000000000007E-2</v>
      </c>
      <c r="M65" s="1105">
        <v>216</v>
      </c>
      <c r="N65" s="1099">
        <v>3.3000000000000002E-2</v>
      </c>
      <c r="O65" s="2851"/>
      <c r="P65" s="1100">
        <v>34400000</v>
      </c>
      <c r="Q65" s="1100">
        <v>34400000</v>
      </c>
      <c r="R65" s="1100">
        <v>29723250</v>
      </c>
      <c r="S65" s="1100">
        <v>18031375</v>
      </c>
      <c r="T65" s="1101">
        <f t="shared" si="33"/>
        <v>0.86404796511627902</v>
      </c>
      <c r="U65" s="1101">
        <f t="shared" si="33"/>
        <v>0.60664210676827068</v>
      </c>
      <c r="V65" s="1102">
        <v>45342</v>
      </c>
      <c r="W65" s="1103">
        <v>45657</v>
      </c>
      <c r="X65" s="180" t="s">
        <v>4773</v>
      </c>
      <c r="Y65" s="2851"/>
    </row>
    <row r="66" spans="1:25">
      <c r="A66" s="1075"/>
      <c r="B66" s="1145">
        <v>54</v>
      </c>
      <c r="C66" s="1145" t="s">
        <v>100</v>
      </c>
      <c r="D66" s="1077" t="s">
        <v>187</v>
      </c>
      <c r="E66" s="1077"/>
      <c r="F66" s="1144"/>
      <c r="G66" s="1144"/>
      <c r="H66" s="1144"/>
      <c r="I66" s="1077"/>
      <c r="J66" s="1077"/>
      <c r="K66" s="1144"/>
      <c r="L66" s="1146"/>
      <c r="M66" s="1146"/>
      <c r="N66" s="1110"/>
      <c r="O66" s="1101"/>
      <c r="P66" s="1081"/>
      <c r="Q66" s="1081"/>
      <c r="R66" s="1081"/>
      <c r="S66" s="1081"/>
      <c r="T66" s="1093"/>
      <c r="U66" s="1093"/>
      <c r="V66" s="1147"/>
      <c r="W66" s="1147"/>
      <c r="X66" s="1081"/>
      <c r="Y66" s="1082"/>
    </row>
    <row r="67" spans="1:25">
      <c r="A67" s="1075"/>
      <c r="B67" s="1145">
        <v>5401</v>
      </c>
      <c r="C67" s="1145" t="s">
        <v>101</v>
      </c>
      <c r="D67" s="1077" t="s">
        <v>120</v>
      </c>
      <c r="E67" s="1077"/>
      <c r="F67" s="1144"/>
      <c r="G67" s="1144"/>
      <c r="H67" s="1144"/>
      <c r="I67" s="1077"/>
      <c r="J67" s="1077"/>
      <c r="K67" s="1144"/>
      <c r="L67" s="1146"/>
      <c r="M67" s="1146"/>
      <c r="N67" s="1110"/>
      <c r="O67" s="1101"/>
      <c r="P67" s="1081"/>
      <c r="Q67" s="1081"/>
      <c r="R67" s="1081"/>
      <c r="S67" s="1081"/>
      <c r="T67" s="1093"/>
      <c r="U67" s="1093"/>
      <c r="V67" s="1147"/>
      <c r="W67" s="1147"/>
      <c r="X67" s="1081"/>
      <c r="Y67" s="1082"/>
    </row>
    <row r="68" spans="1:25">
      <c r="A68" s="1117"/>
      <c r="B68" s="1084">
        <v>5401001</v>
      </c>
      <c r="C68" s="1084" t="s">
        <v>102</v>
      </c>
      <c r="D68" s="1085" t="s">
        <v>188</v>
      </c>
      <c r="E68" s="1085"/>
      <c r="F68" s="1128"/>
      <c r="G68" s="1120"/>
      <c r="H68" s="1128"/>
      <c r="I68" s="1085"/>
      <c r="J68" s="1085"/>
      <c r="K68" s="1128"/>
      <c r="L68" s="1129"/>
      <c r="M68" s="1083"/>
      <c r="N68" s="1110"/>
      <c r="O68" s="1101"/>
      <c r="P68" s="1081"/>
      <c r="Q68" s="1081"/>
      <c r="R68" s="1081"/>
      <c r="S68" s="1081"/>
      <c r="T68" s="1093"/>
      <c r="U68" s="1093"/>
      <c r="V68" s="210"/>
      <c r="W68" s="210"/>
      <c r="X68" s="1081"/>
      <c r="Y68" s="1082"/>
    </row>
    <row r="69" spans="1:25" ht="25.5">
      <c r="A69" s="1081"/>
      <c r="B69" s="1082">
        <v>54010010002</v>
      </c>
      <c r="C69" s="1082" t="s">
        <v>103</v>
      </c>
      <c r="D69" s="1089" t="s">
        <v>328</v>
      </c>
      <c r="E69" s="1089"/>
      <c r="F69" s="1082"/>
      <c r="G69" s="1090"/>
      <c r="H69" s="1090"/>
      <c r="I69" s="1089"/>
      <c r="J69" s="1089"/>
      <c r="K69" s="1090"/>
      <c r="L69" s="1090"/>
      <c r="M69" s="1146"/>
      <c r="N69" s="1110"/>
      <c r="O69" s="1101"/>
      <c r="P69" s="1081"/>
      <c r="Q69" s="1081"/>
      <c r="R69" s="1081"/>
      <c r="S69" s="1081"/>
      <c r="T69" s="1093"/>
      <c r="U69" s="1093"/>
      <c r="V69" s="224"/>
      <c r="W69" s="224"/>
      <c r="X69" s="1081"/>
      <c r="Y69" s="1082"/>
    </row>
    <row r="70" spans="1:25" ht="16.5" customHeight="1">
      <c r="A70" s="2909">
        <v>4132</v>
      </c>
      <c r="B70" s="2908"/>
      <c r="C70" s="2908" t="s">
        <v>109</v>
      </c>
      <c r="D70" s="2910" t="s">
        <v>329</v>
      </c>
      <c r="E70" s="1107" t="s">
        <v>189</v>
      </c>
      <c r="F70" s="1105"/>
      <c r="G70" s="209"/>
      <c r="H70" s="1104"/>
      <c r="I70" s="180"/>
      <c r="J70" s="180"/>
      <c r="K70" s="1104">
        <f>K73</f>
        <v>1</v>
      </c>
      <c r="L70" s="1141">
        <f>+L71+L72+L73</f>
        <v>1</v>
      </c>
      <c r="M70" s="1098">
        <f>+M71+M72++M73</f>
        <v>0</v>
      </c>
      <c r="N70" s="1099">
        <f>+N71+N72+N73</f>
        <v>0.28000000000000003</v>
      </c>
      <c r="O70" s="2911">
        <f>IF(Q70&gt;0,N70,"NA")</f>
        <v>0.28000000000000003</v>
      </c>
      <c r="P70" s="1100">
        <f>+P71+P72+P73+P76</f>
        <v>100000000</v>
      </c>
      <c r="Q70" s="1100">
        <f>+Q71+Q72+Q73</f>
        <v>220000000</v>
      </c>
      <c r="R70" s="1100">
        <f t="shared" ref="R70:S70" si="34">+R71+R72+R73+R76</f>
        <v>116988000</v>
      </c>
      <c r="S70" s="1100">
        <f t="shared" si="34"/>
        <v>38996000</v>
      </c>
      <c r="T70" s="1101">
        <f t="shared" ref="T70:U73" si="35">+IF(Q70=0,0,R70/Q70)</f>
        <v>0.53176363636363633</v>
      </c>
      <c r="U70" s="1101">
        <f t="shared" si="35"/>
        <v>0.33333333333333331</v>
      </c>
      <c r="V70" s="1102"/>
      <c r="W70" s="1103"/>
      <c r="X70" s="1081"/>
      <c r="Y70" s="2908" t="s">
        <v>155</v>
      </c>
    </row>
    <row r="71" spans="1:25" ht="81">
      <c r="A71" s="2850"/>
      <c r="B71" s="2850"/>
      <c r="C71" s="2850"/>
      <c r="D71" s="2850"/>
      <c r="E71" s="180" t="s">
        <v>386</v>
      </c>
      <c r="F71" s="1105"/>
      <c r="G71" s="209" t="s">
        <v>328</v>
      </c>
      <c r="H71" s="1104"/>
      <c r="I71" s="180" t="s">
        <v>387</v>
      </c>
      <c r="J71" s="180" t="s">
        <v>110</v>
      </c>
      <c r="K71" s="1104">
        <v>1</v>
      </c>
      <c r="L71" s="1141">
        <v>0.6</v>
      </c>
      <c r="M71" s="1098">
        <v>0</v>
      </c>
      <c r="N71" s="1099">
        <v>0.2</v>
      </c>
      <c r="O71" s="2850"/>
      <c r="P71" s="1100">
        <v>60000000</v>
      </c>
      <c r="Q71" s="1100">
        <v>160000000</v>
      </c>
      <c r="R71" s="1100">
        <v>90738000</v>
      </c>
      <c r="S71" s="1100">
        <v>30246000</v>
      </c>
      <c r="T71" s="1101">
        <f t="shared" si="35"/>
        <v>0.56711250000000002</v>
      </c>
      <c r="U71" s="1101">
        <f t="shared" si="35"/>
        <v>0.33333333333333331</v>
      </c>
      <c r="V71" s="1102">
        <v>45424</v>
      </c>
      <c r="W71" s="1103">
        <v>45657</v>
      </c>
      <c r="X71" s="1150" t="s">
        <v>4774</v>
      </c>
      <c r="Y71" s="2850"/>
    </row>
    <row r="72" spans="1:25" ht="27">
      <c r="A72" s="2850"/>
      <c r="B72" s="2850"/>
      <c r="C72" s="2850"/>
      <c r="D72" s="2850"/>
      <c r="E72" s="180" t="s">
        <v>282</v>
      </c>
      <c r="F72" s="1105"/>
      <c r="G72" s="209"/>
      <c r="H72" s="1104"/>
      <c r="I72" s="180" t="s">
        <v>388</v>
      </c>
      <c r="J72" s="180" t="s">
        <v>122</v>
      </c>
      <c r="K72" s="1104">
        <v>1</v>
      </c>
      <c r="L72" s="1141">
        <v>0.1</v>
      </c>
      <c r="M72" s="1098">
        <v>0</v>
      </c>
      <c r="N72" s="1099">
        <v>0</v>
      </c>
      <c r="O72" s="2850"/>
      <c r="P72" s="1100">
        <v>10000000</v>
      </c>
      <c r="Q72" s="1100">
        <v>10000000</v>
      </c>
      <c r="R72" s="1100">
        <v>0</v>
      </c>
      <c r="S72" s="1100">
        <v>0</v>
      </c>
      <c r="T72" s="1101">
        <f t="shared" si="35"/>
        <v>0</v>
      </c>
      <c r="U72" s="1101">
        <f t="shared" si="35"/>
        <v>0</v>
      </c>
      <c r="V72" s="1102"/>
      <c r="W72" s="1103"/>
      <c r="X72" s="1081"/>
      <c r="Y72" s="2850"/>
    </row>
    <row r="73" spans="1:25" ht="54">
      <c r="A73" s="2851"/>
      <c r="B73" s="2851"/>
      <c r="C73" s="2851"/>
      <c r="D73" s="2851"/>
      <c r="E73" s="1096" t="s">
        <v>389</v>
      </c>
      <c r="F73" s="1105"/>
      <c r="G73" s="180"/>
      <c r="H73" s="1104"/>
      <c r="I73" s="180" t="s">
        <v>390</v>
      </c>
      <c r="J73" s="180" t="s">
        <v>174</v>
      </c>
      <c r="K73" s="1104">
        <v>1</v>
      </c>
      <c r="L73" s="1097">
        <v>0.3</v>
      </c>
      <c r="M73" s="1105">
        <v>0</v>
      </c>
      <c r="N73" s="1099">
        <v>0.08</v>
      </c>
      <c r="O73" s="2851"/>
      <c r="P73" s="1100">
        <v>30000000</v>
      </c>
      <c r="Q73" s="1100">
        <v>50000000</v>
      </c>
      <c r="R73" s="1100">
        <v>26250000</v>
      </c>
      <c r="S73" s="1100">
        <v>8750000</v>
      </c>
      <c r="T73" s="1101">
        <f t="shared" si="35"/>
        <v>0.52500000000000002</v>
      </c>
      <c r="U73" s="1101">
        <f t="shared" si="35"/>
        <v>0.33333333333333331</v>
      </c>
      <c r="V73" s="1102">
        <v>45424</v>
      </c>
      <c r="W73" s="1103">
        <v>45657</v>
      </c>
      <c r="X73" s="180" t="s">
        <v>4775</v>
      </c>
      <c r="Y73" s="2851"/>
    </row>
    <row r="74" spans="1:25" ht="16.5" customHeight="1">
      <c r="A74" s="2909">
        <v>4132</v>
      </c>
      <c r="B74" s="2909"/>
      <c r="C74" s="2849" t="s">
        <v>109</v>
      </c>
      <c r="D74" s="2910" t="s">
        <v>391</v>
      </c>
      <c r="E74" s="1094" t="s">
        <v>392</v>
      </c>
      <c r="F74" s="1105"/>
      <c r="G74" s="180"/>
      <c r="H74" s="1104"/>
      <c r="I74" s="180"/>
      <c r="J74" s="180"/>
      <c r="K74" s="1104"/>
      <c r="L74" s="1097">
        <v>1</v>
      </c>
      <c r="M74" s="1105">
        <f t="shared" ref="M74:N74" si="36">+M75</f>
        <v>0</v>
      </c>
      <c r="N74" s="1099">
        <f t="shared" si="36"/>
        <v>0.3</v>
      </c>
      <c r="O74" s="2911">
        <f>IF(Q74&gt;0,N74,"NA")</f>
        <v>0.3</v>
      </c>
      <c r="P74" s="1100">
        <f t="shared" ref="P74:S74" si="37">+P75</f>
        <v>200000000</v>
      </c>
      <c r="Q74" s="1100">
        <f t="shared" si="37"/>
        <v>200000000</v>
      </c>
      <c r="R74" s="1100">
        <f t="shared" si="37"/>
        <v>101606000</v>
      </c>
      <c r="S74" s="1100">
        <f t="shared" si="37"/>
        <v>57730000</v>
      </c>
      <c r="T74" s="1101"/>
      <c r="U74" s="1101"/>
      <c r="V74" s="1102"/>
      <c r="W74" s="1103"/>
      <c r="X74" s="180"/>
      <c r="Y74" s="1151"/>
    </row>
    <row r="75" spans="1:25" ht="162">
      <c r="A75" s="2851"/>
      <c r="B75" s="2851"/>
      <c r="C75" s="2851"/>
      <c r="D75" s="2851"/>
      <c r="E75" s="1096" t="s">
        <v>393</v>
      </c>
      <c r="F75" s="1105"/>
      <c r="G75" s="180" t="s">
        <v>350</v>
      </c>
      <c r="H75" s="1104"/>
      <c r="I75" s="180" t="s">
        <v>373</v>
      </c>
      <c r="J75" s="180" t="s">
        <v>193</v>
      </c>
      <c r="K75" s="1104">
        <v>1</v>
      </c>
      <c r="L75" s="1097">
        <v>1</v>
      </c>
      <c r="M75" s="1105">
        <v>0</v>
      </c>
      <c r="N75" s="1099">
        <v>0.3</v>
      </c>
      <c r="O75" s="2851"/>
      <c r="P75" s="1100">
        <v>200000000</v>
      </c>
      <c r="Q75" s="1100">
        <v>200000000</v>
      </c>
      <c r="R75" s="1100">
        <v>101606000</v>
      </c>
      <c r="S75" s="1100">
        <v>57730000</v>
      </c>
      <c r="T75" s="1101">
        <f t="shared" ref="T75:U75" si="38">+IF(Q75=0,0,R75/Q75)</f>
        <v>0.50802999999999998</v>
      </c>
      <c r="U75" s="1101">
        <f t="shared" si="38"/>
        <v>0.5681751077692262</v>
      </c>
      <c r="V75" s="1102">
        <v>45314</v>
      </c>
      <c r="W75" s="1103">
        <v>45657</v>
      </c>
      <c r="X75" s="1143" t="s">
        <v>4776</v>
      </c>
      <c r="Y75" s="1107" t="s">
        <v>194</v>
      </c>
    </row>
    <row r="76" spans="1:25" ht="25.5">
      <c r="A76" s="1136"/>
      <c r="B76" s="1090">
        <v>54010010004</v>
      </c>
      <c r="C76" s="1090" t="s">
        <v>103</v>
      </c>
      <c r="D76" s="1088" t="s">
        <v>350</v>
      </c>
      <c r="E76" s="1090"/>
      <c r="F76" s="1090"/>
      <c r="G76" s="1090"/>
      <c r="H76" s="1090"/>
      <c r="I76" s="1136"/>
      <c r="J76" s="1136"/>
      <c r="K76" s="1136"/>
      <c r="L76" s="1136"/>
      <c r="M76" s="1136"/>
      <c r="N76" s="1138"/>
      <c r="O76" s="1138"/>
      <c r="P76" s="1136"/>
      <c r="Q76" s="1136"/>
      <c r="R76" s="1136"/>
      <c r="S76" s="1136"/>
      <c r="T76" s="1136"/>
      <c r="U76" s="1136"/>
      <c r="V76" s="1090"/>
      <c r="W76" s="1136"/>
      <c r="X76" s="1136"/>
      <c r="Y76" s="1136"/>
    </row>
    <row r="77" spans="1:25" ht="16.5" customHeight="1">
      <c r="A77" s="2908">
        <v>4132</v>
      </c>
      <c r="B77" s="2928"/>
      <c r="C77" s="2908" t="s">
        <v>109</v>
      </c>
      <c r="D77" s="2913" t="s">
        <v>351</v>
      </c>
      <c r="E77" s="1107" t="s">
        <v>352</v>
      </c>
      <c r="F77" s="1105"/>
      <c r="G77" s="209"/>
      <c r="H77" s="1104"/>
      <c r="I77" s="180"/>
      <c r="J77" s="180"/>
      <c r="K77" s="1104">
        <f>K78</f>
        <v>2</v>
      </c>
      <c r="L77" s="1141">
        <f t="shared" ref="L77:N77" si="39">+L78</f>
        <v>1</v>
      </c>
      <c r="M77" s="1098">
        <f t="shared" si="39"/>
        <v>0</v>
      </c>
      <c r="N77" s="1099">
        <f t="shared" si="39"/>
        <v>0.12</v>
      </c>
      <c r="O77" s="2911">
        <f>IF(Q77&gt;0,N77,"NA")</f>
        <v>0.12</v>
      </c>
      <c r="P77" s="1100">
        <f>P78</f>
        <v>1000000000</v>
      </c>
      <c r="Q77" s="1100">
        <f t="shared" ref="Q77:S77" si="40">+Q78</f>
        <v>2300000000</v>
      </c>
      <c r="R77" s="1100">
        <f t="shared" si="40"/>
        <v>1423833500</v>
      </c>
      <c r="S77" s="1100">
        <f t="shared" si="40"/>
        <v>756508998</v>
      </c>
      <c r="T77" s="1101">
        <f t="shared" ref="T77:U78" si="41">+IF(Q77=0,0,R77/Q77)</f>
        <v>0.61905804347826088</v>
      </c>
      <c r="U77" s="1101">
        <f t="shared" si="41"/>
        <v>0.53131844278140672</v>
      </c>
      <c r="V77" s="1102"/>
      <c r="W77" s="1103"/>
      <c r="X77" s="1081"/>
      <c r="Y77" s="2908" t="s">
        <v>155</v>
      </c>
    </row>
    <row r="78" spans="1:25" ht="378">
      <c r="A78" s="2851"/>
      <c r="B78" s="2851"/>
      <c r="C78" s="2851"/>
      <c r="D78" s="2851"/>
      <c r="E78" s="1096" t="s">
        <v>353</v>
      </c>
      <c r="F78" s="1105"/>
      <c r="G78" s="180" t="s">
        <v>350</v>
      </c>
      <c r="H78" s="1104"/>
      <c r="I78" s="180" t="s">
        <v>394</v>
      </c>
      <c r="J78" s="180" t="s">
        <v>174</v>
      </c>
      <c r="K78" s="1104">
        <v>2</v>
      </c>
      <c r="L78" s="1097">
        <v>1</v>
      </c>
      <c r="M78" s="1105">
        <v>0</v>
      </c>
      <c r="N78" s="1099">
        <v>0.12</v>
      </c>
      <c r="O78" s="2851"/>
      <c r="P78" s="1100">
        <v>1000000000</v>
      </c>
      <c r="Q78" s="1100">
        <v>2300000000</v>
      </c>
      <c r="R78" s="1100">
        <v>1423833500</v>
      </c>
      <c r="S78" s="1100">
        <v>756508998</v>
      </c>
      <c r="T78" s="1101">
        <f t="shared" si="41"/>
        <v>0.61905804347826088</v>
      </c>
      <c r="U78" s="1101">
        <f t="shared" si="41"/>
        <v>0.53131844278140672</v>
      </c>
      <c r="V78" s="1102">
        <v>45340</v>
      </c>
      <c r="W78" s="1103">
        <v>45657</v>
      </c>
      <c r="X78" s="1143" t="s">
        <v>4777</v>
      </c>
      <c r="Y78" s="2851"/>
    </row>
    <row r="79" spans="1:25">
      <c r="A79" s="1082"/>
      <c r="B79" s="1082">
        <v>54010010005</v>
      </c>
      <c r="C79" s="1082" t="s">
        <v>103</v>
      </c>
      <c r="D79" s="1089" t="s">
        <v>266</v>
      </c>
      <c r="E79" s="1089"/>
      <c r="F79" s="1082"/>
      <c r="G79" s="1090"/>
      <c r="H79" s="1090"/>
      <c r="I79" s="1090"/>
      <c r="J79" s="1090"/>
      <c r="K79" s="1090"/>
      <c r="L79" s="1090"/>
      <c r="M79" s="1146"/>
      <c r="N79" s="1110"/>
      <c r="O79" s="1101"/>
      <c r="P79" s="1081"/>
      <c r="Q79" s="1081"/>
      <c r="R79" s="1081"/>
      <c r="S79" s="1081"/>
      <c r="T79" s="1093"/>
      <c r="U79" s="1093"/>
      <c r="V79" s="224"/>
      <c r="W79" s="224"/>
      <c r="X79" s="1081"/>
      <c r="Y79" s="1082"/>
    </row>
    <row r="80" spans="1:25" ht="16.5" customHeight="1">
      <c r="A80" s="2909">
        <v>4132</v>
      </c>
      <c r="B80" s="2908"/>
      <c r="C80" s="2908" t="s">
        <v>109</v>
      </c>
      <c r="D80" s="2910" t="s">
        <v>267</v>
      </c>
      <c r="E80" s="1107" t="s">
        <v>268</v>
      </c>
      <c r="F80" s="1105"/>
      <c r="G80" s="209"/>
      <c r="H80" s="1104"/>
      <c r="I80" s="180"/>
      <c r="J80" s="180"/>
      <c r="K80" s="1104">
        <f>K81</f>
        <v>1</v>
      </c>
      <c r="L80" s="1141">
        <v>1</v>
      </c>
      <c r="M80" s="1098">
        <f t="shared" ref="M80:N80" si="42">M81</f>
        <v>0</v>
      </c>
      <c r="N80" s="1099">
        <f t="shared" si="42"/>
        <v>0.05</v>
      </c>
      <c r="O80" s="2911">
        <f>IF(Q80&gt;0,N80,"NA")</f>
        <v>0.05</v>
      </c>
      <c r="P80" s="1100">
        <f t="shared" ref="P80:S80" si="43">P81</f>
        <v>500000000</v>
      </c>
      <c r="Q80" s="1100">
        <f t="shared" si="43"/>
        <v>1200000000</v>
      </c>
      <c r="R80" s="1100">
        <f t="shared" si="43"/>
        <v>598119500</v>
      </c>
      <c r="S80" s="1100">
        <f t="shared" si="43"/>
        <v>82683500</v>
      </c>
      <c r="T80" s="1101">
        <f t="shared" ref="T80:U81" si="44">+IF(Q80=0,0,R80/Q80)</f>
        <v>0.49843291666666667</v>
      </c>
      <c r="U80" s="1101">
        <f t="shared" si="44"/>
        <v>0.13823909770539164</v>
      </c>
      <c r="V80" s="1102"/>
      <c r="W80" s="1103"/>
      <c r="X80" s="1081"/>
      <c r="Y80" s="2908" t="s">
        <v>155</v>
      </c>
    </row>
    <row r="81" spans="1:25" ht="229.5">
      <c r="A81" s="2851"/>
      <c r="B81" s="2851"/>
      <c r="C81" s="2851"/>
      <c r="D81" s="2851"/>
      <c r="E81" s="1096" t="s">
        <v>283</v>
      </c>
      <c r="F81" s="1105"/>
      <c r="G81" s="180" t="s">
        <v>266</v>
      </c>
      <c r="H81" s="1104"/>
      <c r="I81" s="180" t="s">
        <v>373</v>
      </c>
      <c r="J81" s="180" t="s">
        <v>193</v>
      </c>
      <c r="K81" s="1104">
        <v>1</v>
      </c>
      <c r="L81" s="1097">
        <v>1</v>
      </c>
      <c r="M81" s="1105">
        <v>0</v>
      </c>
      <c r="N81" s="1099">
        <v>0.05</v>
      </c>
      <c r="O81" s="2851"/>
      <c r="P81" s="1100">
        <v>500000000</v>
      </c>
      <c r="Q81" s="1100">
        <v>1200000000</v>
      </c>
      <c r="R81" s="1100">
        <v>598119500</v>
      </c>
      <c r="S81" s="1100">
        <v>82683500</v>
      </c>
      <c r="T81" s="1101">
        <f t="shared" si="44"/>
        <v>0.49843291666666667</v>
      </c>
      <c r="U81" s="1101">
        <f t="shared" si="44"/>
        <v>0.13823909770539164</v>
      </c>
      <c r="V81" s="1102">
        <v>45349</v>
      </c>
      <c r="W81" s="1103">
        <v>45657</v>
      </c>
      <c r="X81" s="1152" t="s">
        <v>4778</v>
      </c>
      <c r="Y81" s="2851"/>
    </row>
    <row r="82" spans="1:25">
      <c r="A82" s="1081"/>
      <c r="B82" s="1082">
        <v>54010010006</v>
      </c>
      <c r="C82" s="1082" t="s">
        <v>103</v>
      </c>
      <c r="D82" s="1089" t="s">
        <v>190</v>
      </c>
      <c r="E82" s="1089"/>
      <c r="F82" s="1149"/>
      <c r="G82" s="1090"/>
      <c r="H82" s="1081"/>
      <c r="I82" s="1089"/>
      <c r="J82" s="1089"/>
      <c r="K82" s="1090"/>
      <c r="L82" s="1090"/>
      <c r="M82" s="1146"/>
      <c r="N82" s="1110"/>
      <c r="O82" s="1101"/>
      <c r="P82" s="1081"/>
      <c r="Q82" s="1081"/>
      <c r="R82" s="1081"/>
      <c r="S82" s="1081"/>
      <c r="T82" s="1093"/>
      <c r="U82" s="1093"/>
      <c r="V82" s="224"/>
      <c r="W82" s="224"/>
      <c r="X82" s="1081"/>
      <c r="Y82" s="1082"/>
    </row>
    <row r="83" spans="1:25" ht="16.5" customHeight="1">
      <c r="A83" s="2909">
        <v>4132</v>
      </c>
      <c r="B83" s="2908"/>
      <c r="C83" s="2908" t="s">
        <v>109</v>
      </c>
      <c r="D83" s="2910" t="s">
        <v>191</v>
      </c>
      <c r="E83" s="1107" t="s">
        <v>192</v>
      </c>
      <c r="F83" s="1104"/>
      <c r="G83" s="209"/>
      <c r="H83" s="1139"/>
      <c r="I83" s="180"/>
      <c r="J83" s="180"/>
      <c r="K83" s="89">
        <f>+K85</f>
        <v>4</v>
      </c>
      <c r="L83" s="218">
        <f t="shared" ref="L83:N83" si="45">+L84+L85+L86</f>
        <v>1</v>
      </c>
      <c r="M83" s="208">
        <f t="shared" si="45"/>
        <v>0</v>
      </c>
      <c r="N83" s="223">
        <f t="shared" si="45"/>
        <v>4.0000000000000001E-3</v>
      </c>
      <c r="O83" s="2922">
        <f>IF(Q83&gt;0,N83,"NA")</f>
        <v>4.0000000000000001E-3</v>
      </c>
      <c r="P83" s="133">
        <f>+P84+P85+P86</f>
        <v>300000000</v>
      </c>
      <c r="Q83" s="133">
        <f>Q86+Q84+Q85</f>
        <v>300000000</v>
      </c>
      <c r="R83" s="133">
        <f t="shared" ref="R83:S83" si="46">+R84+R85+R86</f>
        <v>102623000</v>
      </c>
      <c r="S83" s="133">
        <f t="shared" si="46"/>
        <v>37695000</v>
      </c>
      <c r="T83" s="75">
        <f t="shared" ref="T83:U86" si="47">+IF(Q83=0,0,R83/Q83)</f>
        <v>0.34207666666666664</v>
      </c>
      <c r="U83" s="75">
        <f t="shared" si="47"/>
        <v>0.36731531917796206</v>
      </c>
      <c r="V83" s="1153"/>
      <c r="W83" s="1154"/>
      <c r="X83" s="88"/>
      <c r="Y83" s="2853" t="s">
        <v>155</v>
      </c>
    </row>
    <row r="84" spans="1:25" ht="94.5">
      <c r="A84" s="2850"/>
      <c r="B84" s="2850"/>
      <c r="C84" s="2850"/>
      <c r="D84" s="2850"/>
      <c r="E84" s="180" t="s">
        <v>395</v>
      </c>
      <c r="F84" s="1104"/>
      <c r="G84" s="209"/>
      <c r="H84" s="1139"/>
      <c r="I84" s="180" t="s">
        <v>396</v>
      </c>
      <c r="J84" s="180" t="s">
        <v>397</v>
      </c>
      <c r="K84" s="89">
        <v>1</v>
      </c>
      <c r="L84" s="218">
        <v>0.33</v>
      </c>
      <c r="M84" s="208">
        <v>0</v>
      </c>
      <c r="N84" s="223">
        <v>1E-3</v>
      </c>
      <c r="O84" s="2850"/>
      <c r="P84" s="133">
        <v>213960000</v>
      </c>
      <c r="Q84" s="133">
        <v>213960000</v>
      </c>
      <c r="R84" s="133">
        <v>84314500</v>
      </c>
      <c r="S84" s="133">
        <v>29848500</v>
      </c>
      <c r="T84" s="75">
        <f t="shared" si="47"/>
        <v>0.39406664797158347</v>
      </c>
      <c r="U84" s="75">
        <f t="shared" si="47"/>
        <v>0.35401384103564632</v>
      </c>
      <c r="V84" s="1153">
        <v>45427</v>
      </c>
      <c r="W84" s="1154">
        <v>45657</v>
      </c>
      <c r="X84" s="154" t="s">
        <v>4779</v>
      </c>
      <c r="Y84" s="2850"/>
    </row>
    <row r="85" spans="1:25" ht="108" customHeight="1">
      <c r="A85" s="2850"/>
      <c r="B85" s="2850"/>
      <c r="C85" s="2850"/>
      <c r="D85" s="2850"/>
      <c r="E85" s="180" t="s">
        <v>284</v>
      </c>
      <c r="F85" s="1104"/>
      <c r="G85" s="209" t="s">
        <v>190</v>
      </c>
      <c r="H85" s="1139"/>
      <c r="I85" s="180" t="s">
        <v>398</v>
      </c>
      <c r="J85" s="180" t="s">
        <v>193</v>
      </c>
      <c r="K85" s="89">
        <v>4</v>
      </c>
      <c r="L85" s="218">
        <v>0.33</v>
      </c>
      <c r="M85" s="208">
        <v>0</v>
      </c>
      <c r="N85" s="223">
        <v>1E-3</v>
      </c>
      <c r="O85" s="2850"/>
      <c r="P85" s="133">
        <v>40000000</v>
      </c>
      <c r="Q85" s="133">
        <v>40000000</v>
      </c>
      <c r="R85" s="133">
        <v>10500000</v>
      </c>
      <c r="S85" s="133">
        <v>4500000</v>
      </c>
      <c r="T85" s="75">
        <f t="shared" si="47"/>
        <v>0.26250000000000001</v>
      </c>
      <c r="U85" s="75">
        <f t="shared" si="47"/>
        <v>0.42857142857142855</v>
      </c>
      <c r="V85" s="1153">
        <v>45427</v>
      </c>
      <c r="W85" s="1154">
        <v>45657</v>
      </c>
      <c r="X85" s="154" t="s">
        <v>4780</v>
      </c>
      <c r="Y85" s="2850"/>
    </row>
    <row r="86" spans="1:25" ht="67.5">
      <c r="A86" s="2851"/>
      <c r="B86" s="2851"/>
      <c r="C86" s="2851"/>
      <c r="D86" s="2851"/>
      <c r="E86" s="1096" t="s">
        <v>399</v>
      </c>
      <c r="F86" s="1105"/>
      <c r="G86" s="209"/>
      <c r="H86" s="1139"/>
      <c r="I86" s="180" t="s">
        <v>400</v>
      </c>
      <c r="J86" s="180" t="s">
        <v>401</v>
      </c>
      <c r="K86" s="89">
        <v>1</v>
      </c>
      <c r="L86" s="218">
        <v>0.34</v>
      </c>
      <c r="M86" s="216">
        <v>0</v>
      </c>
      <c r="N86" s="223">
        <v>2E-3</v>
      </c>
      <c r="O86" s="2851"/>
      <c r="P86" s="133">
        <v>46040000</v>
      </c>
      <c r="Q86" s="133">
        <v>46040000</v>
      </c>
      <c r="R86" s="133">
        <v>7808500</v>
      </c>
      <c r="S86" s="133">
        <v>3346500</v>
      </c>
      <c r="T86" s="75">
        <f t="shared" si="47"/>
        <v>0.16960251954821895</v>
      </c>
      <c r="U86" s="75">
        <f t="shared" si="47"/>
        <v>0.42857142857142855</v>
      </c>
      <c r="V86" s="1153">
        <v>45427</v>
      </c>
      <c r="W86" s="1154">
        <v>45657</v>
      </c>
      <c r="X86" s="154" t="s">
        <v>4781</v>
      </c>
      <c r="Y86" s="2851"/>
    </row>
    <row r="87" spans="1:25" ht="33">
      <c r="A87" s="1117"/>
      <c r="B87" s="1084">
        <v>5402002</v>
      </c>
      <c r="C87" s="1084" t="s">
        <v>102</v>
      </c>
      <c r="D87" s="1085" t="s">
        <v>330</v>
      </c>
      <c r="E87" s="1085"/>
      <c r="F87" s="1128"/>
      <c r="G87" s="1085"/>
      <c r="H87" s="1128"/>
      <c r="I87" s="1085"/>
      <c r="J87" s="1085"/>
      <c r="K87" s="1128"/>
      <c r="L87" s="1155"/>
      <c r="M87" s="1146"/>
      <c r="N87" s="1110"/>
      <c r="O87" s="1101"/>
      <c r="P87" s="1081"/>
      <c r="Q87" s="1081"/>
      <c r="R87" s="1081"/>
      <c r="S87" s="1081"/>
      <c r="T87" s="1093"/>
      <c r="U87" s="1093"/>
      <c r="V87" s="210"/>
      <c r="W87" s="210"/>
      <c r="X87" s="1081"/>
      <c r="Y87" s="1082"/>
    </row>
    <row r="88" spans="1:25" ht="25.5">
      <c r="A88" s="70"/>
      <c r="B88" s="111">
        <v>54010020004</v>
      </c>
      <c r="C88" s="111" t="s">
        <v>103</v>
      </c>
      <c r="D88" s="101" t="s">
        <v>4782</v>
      </c>
      <c r="E88" s="101"/>
      <c r="F88" s="91">
        <v>1</v>
      </c>
      <c r="G88" s="101"/>
      <c r="H88" s="88"/>
      <c r="I88" s="101"/>
      <c r="J88" s="101"/>
      <c r="K88" s="70"/>
      <c r="L88" s="88"/>
      <c r="M88" s="229"/>
      <c r="N88" s="225"/>
      <c r="O88" s="75"/>
      <c r="P88" s="88"/>
      <c r="Q88" s="88"/>
      <c r="R88" s="88"/>
      <c r="S88" s="88"/>
      <c r="T88" s="188"/>
      <c r="U88" s="188"/>
      <c r="V88" s="227"/>
      <c r="W88" s="227"/>
      <c r="X88" s="88"/>
      <c r="Y88" s="70"/>
    </row>
    <row r="89" spans="1:25" ht="16.5" customHeight="1">
      <c r="A89" s="2849">
        <v>4132</v>
      </c>
      <c r="B89" s="2853"/>
      <c r="C89" s="2853" t="s">
        <v>109</v>
      </c>
      <c r="D89" s="2921" t="s">
        <v>4783</v>
      </c>
      <c r="E89" s="128" t="s">
        <v>4784</v>
      </c>
      <c r="F89" s="89"/>
      <c r="G89" s="128"/>
      <c r="H89" s="89">
        <f>H90</f>
        <v>1</v>
      </c>
      <c r="I89" s="110"/>
      <c r="J89" s="110"/>
      <c r="K89" s="89">
        <v>1</v>
      </c>
      <c r="L89" s="228">
        <f t="shared" ref="L89:N89" si="48">L90</f>
        <v>1</v>
      </c>
      <c r="M89" s="208">
        <f t="shared" si="48"/>
        <v>0</v>
      </c>
      <c r="N89" s="96">
        <f t="shared" si="48"/>
        <v>0.33</v>
      </c>
      <c r="O89" s="2922">
        <f>IF(Q89&gt;0,N89,"NA")</f>
        <v>0.33</v>
      </c>
      <c r="P89" s="133">
        <v>0</v>
      </c>
      <c r="Q89" s="133">
        <f t="shared" ref="Q89:S89" si="49">Q90</f>
        <v>1918000000</v>
      </c>
      <c r="R89" s="133">
        <f t="shared" si="49"/>
        <v>1918000000</v>
      </c>
      <c r="S89" s="133">
        <f t="shared" si="49"/>
        <v>573000000</v>
      </c>
      <c r="T89" s="75">
        <f t="shared" ref="T89:U90" si="50">+IF(Q89=0,0,R89/Q89)</f>
        <v>1</v>
      </c>
      <c r="U89" s="75">
        <f t="shared" si="50"/>
        <v>0.29874869655891556</v>
      </c>
      <c r="V89" s="1153"/>
      <c r="W89" s="1154"/>
      <c r="X89" s="88"/>
      <c r="Y89" s="2853" t="s">
        <v>155</v>
      </c>
    </row>
    <row r="90" spans="1:25" ht="135">
      <c r="A90" s="2851"/>
      <c r="B90" s="2851"/>
      <c r="C90" s="2851"/>
      <c r="D90" s="2851"/>
      <c r="E90" s="110" t="s">
        <v>4785</v>
      </c>
      <c r="F90" s="89"/>
      <c r="G90" s="92" t="s">
        <v>4786</v>
      </c>
      <c r="H90" s="89">
        <v>1</v>
      </c>
      <c r="I90" s="110" t="s">
        <v>4787</v>
      </c>
      <c r="J90" s="110" t="s">
        <v>4788</v>
      </c>
      <c r="K90" s="89">
        <v>1</v>
      </c>
      <c r="L90" s="228">
        <v>1</v>
      </c>
      <c r="M90" s="216">
        <v>0</v>
      </c>
      <c r="N90" s="96">
        <v>0.33</v>
      </c>
      <c r="O90" s="2851"/>
      <c r="P90" s="133">
        <v>0</v>
      </c>
      <c r="Q90" s="133">
        <v>1918000000</v>
      </c>
      <c r="R90" s="133">
        <v>1918000000</v>
      </c>
      <c r="S90" s="133">
        <v>573000000</v>
      </c>
      <c r="T90" s="75">
        <f t="shared" si="50"/>
        <v>1</v>
      </c>
      <c r="U90" s="75">
        <f t="shared" si="50"/>
        <v>0.29874869655891556</v>
      </c>
      <c r="V90" s="1153">
        <v>45413</v>
      </c>
      <c r="W90" s="1154">
        <v>45657</v>
      </c>
      <c r="X90" s="1157" t="s">
        <v>4789</v>
      </c>
      <c r="Y90" s="2851"/>
    </row>
    <row r="91" spans="1:25" ht="67.5" customHeight="1">
      <c r="A91" s="1117"/>
      <c r="B91" s="1084">
        <v>5402002</v>
      </c>
      <c r="C91" s="1084" t="s">
        <v>102</v>
      </c>
      <c r="D91" s="1085" t="s">
        <v>330</v>
      </c>
      <c r="E91" s="1085"/>
      <c r="F91" s="1128"/>
      <c r="G91" s="1085"/>
      <c r="H91" s="1128"/>
      <c r="I91" s="1085"/>
      <c r="J91" s="1085"/>
      <c r="K91" s="1128"/>
      <c r="L91" s="1155"/>
      <c r="M91" s="1146"/>
      <c r="N91" s="1110"/>
      <c r="O91" s="1101"/>
      <c r="P91" s="1081"/>
      <c r="Q91" s="1081"/>
      <c r="R91" s="1081"/>
      <c r="S91" s="1081"/>
      <c r="T91" s="1093"/>
      <c r="U91" s="1093"/>
      <c r="V91" s="210"/>
      <c r="W91" s="210"/>
      <c r="X91" s="1081"/>
      <c r="Y91" s="1082"/>
    </row>
    <row r="92" spans="1:25" ht="16.5" customHeight="1">
      <c r="A92" s="1158"/>
      <c r="B92" s="1159">
        <v>54020020002</v>
      </c>
      <c r="C92" s="1159" t="s">
        <v>103</v>
      </c>
      <c r="D92" s="1160" t="s">
        <v>195</v>
      </c>
      <c r="E92" s="1160"/>
      <c r="F92" s="609"/>
      <c r="G92" s="1160"/>
      <c r="H92" s="261"/>
      <c r="I92" s="1160"/>
      <c r="J92" s="1160"/>
      <c r="K92" s="1158"/>
      <c r="L92" s="261"/>
      <c r="M92" s="1161"/>
      <c r="N92" s="1162"/>
      <c r="O92" s="260"/>
      <c r="P92" s="261"/>
      <c r="Q92" s="261"/>
      <c r="R92" s="261"/>
      <c r="S92" s="261"/>
      <c r="T92" s="1163"/>
      <c r="U92" s="1163"/>
      <c r="V92" s="261"/>
      <c r="W92" s="261"/>
      <c r="X92" s="261"/>
      <c r="Y92" s="1158"/>
    </row>
    <row r="93" spans="1:25">
      <c r="A93" s="2914">
        <v>4132</v>
      </c>
      <c r="B93" s="2915"/>
      <c r="C93" s="2915" t="s">
        <v>109</v>
      </c>
      <c r="D93" s="2916" t="s">
        <v>196</v>
      </c>
      <c r="E93" s="589" t="s">
        <v>197</v>
      </c>
      <c r="F93" s="255"/>
      <c r="G93" s="589"/>
      <c r="H93" s="255"/>
      <c r="I93" s="1164"/>
      <c r="J93" s="220"/>
      <c r="K93" s="255">
        <v>12</v>
      </c>
      <c r="L93" s="256">
        <f t="shared" ref="L93:N93" si="51">L94+L95</f>
        <v>1</v>
      </c>
      <c r="M93" s="257">
        <f t="shared" si="51"/>
        <v>0</v>
      </c>
      <c r="N93" s="1165">
        <f t="shared" si="51"/>
        <v>0.57999999999999996</v>
      </c>
      <c r="O93" s="2917">
        <f>IF(Q93&gt;0,N93,"na")</f>
        <v>0.57999999999999996</v>
      </c>
      <c r="P93" s="259">
        <f t="shared" ref="P93:S93" si="52">P94+P95</f>
        <v>399038204</v>
      </c>
      <c r="Q93" s="259">
        <f t="shared" si="52"/>
        <v>586510000</v>
      </c>
      <c r="R93" s="259">
        <f t="shared" si="52"/>
        <v>550365000</v>
      </c>
      <c r="S93" s="259">
        <f t="shared" si="52"/>
        <v>145721000</v>
      </c>
      <c r="T93" s="260">
        <f t="shared" ref="T93:U98" si="53">+IF(Q93=0,0,R93/Q93)</f>
        <v>0.93837274726773623</v>
      </c>
      <c r="U93" s="260">
        <f t="shared" si="53"/>
        <v>0.26477156069154106</v>
      </c>
      <c r="V93" s="1166"/>
      <c r="W93" s="1167"/>
      <c r="X93" s="261"/>
      <c r="Y93" s="2915" t="s">
        <v>194</v>
      </c>
    </row>
    <row r="94" spans="1:25" ht="135" customHeight="1">
      <c r="A94" s="2850"/>
      <c r="B94" s="2850"/>
      <c r="C94" s="2850"/>
      <c r="D94" s="2850"/>
      <c r="E94" s="608" t="s">
        <v>285</v>
      </c>
      <c r="F94" s="2923"/>
      <c r="G94" s="608"/>
      <c r="H94" s="704"/>
      <c r="I94" s="220" t="s">
        <v>402</v>
      </c>
      <c r="J94" s="220" t="s">
        <v>121</v>
      </c>
      <c r="K94" s="255">
        <v>1</v>
      </c>
      <c r="L94" s="256">
        <v>0.05</v>
      </c>
      <c r="M94" s="262">
        <v>0</v>
      </c>
      <c r="N94" s="1165">
        <v>0.01</v>
      </c>
      <c r="O94" s="2850"/>
      <c r="P94" s="262">
        <v>85000000</v>
      </c>
      <c r="Q94" s="259">
        <v>85000000</v>
      </c>
      <c r="R94" s="259">
        <v>85000000</v>
      </c>
      <c r="S94" s="259">
        <v>0</v>
      </c>
      <c r="T94" s="260">
        <f t="shared" si="53"/>
        <v>1</v>
      </c>
      <c r="U94" s="260">
        <f t="shared" si="53"/>
        <v>0</v>
      </c>
      <c r="V94" s="1166">
        <v>45309</v>
      </c>
      <c r="W94" s="1167">
        <v>45657</v>
      </c>
      <c r="X94" s="1168" t="s">
        <v>4790</v>
      </c>
      <c r="Y94" s="2850"/>
    </row>
    <row r="95" spans="1:25" ht="256.5">
      <c r="A95" s="2851"/>
      <c r="B95" s="2851"/>
      <c r="C95" s="2851"/>
      <c r="D95" s="2851"/>
      <c r="E95" s="608" t="s">
        <v>286</v>
      </c>
      <c r="F95" s="2851"/>
      <c r="G95" s="608" t="s">
        <v>195</v>
      </c>
      <c r="H95" s="1169"/>
      <c r="I95" s="220" t="s">
        <v>403</v>
      </c>
      <c r="J95" s="220" t="s">
        <v>198</v>
      </c>
      <c r="K95" s="255">
        <v>12</v>
      </c>
      <c r="L95" s="256">
        <v>0.95</v>
      </c>
      <c r="M95" s="262">
        <v>0</v>
      </c>
      <c r="N95" s="1165">
        <v>0.56999999999999995</v>
      </c>
      <c r="O95" s="2851"/>
      <c r="P95" s="262">
        <v>314038204</v>
      </c>
      <c r="Q95" s="259">
        <v>501510000</v>
      </c>
      <c r="R95" s="259">
        <v>465365000</v>
      </c>
      <c r="S95" s="259">
        <v>145721000</v>
      </c>
      <c r="T95" s="260">
        <f t="shared" si="53"/>
        <v>0.92792765847141634</v>
      </c>
      <c r="U95" s="260">
        <f t="shared" si="53"/>
        <v>0.31313270228745177</v>
      </c>
      <c r="V95" s="1166">
        <v>45309</v>
      </c>
      <c r="W95" s="1167">
        <v>45657</v>
      </c>
      <c r="X95" s="1143" t="s">
        <v>4791</v>
      </c>
      <c r="Y95" s="2851"/>
    </row>
    <row r="96" spans="1:25" ht="16.5" customHeight="1">
      <c r="A96" s="2914">
        <v>4132</v>
      </c>
      <c r="B96" s="2914"/>
      <c r="C96" s="2914" t="s">
        <v>109</v>
      </c>
      <c r="D96" s="2924" t="s">
        <v>404</v>
      </c>
      <c r="E96" s="589" t="s">
        <v>405</v>
      </c>
      <c r="F96" s="1170"/>
      <c r="G96" s="608"/>
      <c r="H96" s="1169"/>
      <c r="I96" s="220"/>
      <c r="J96" s="220"/>
      <c r="K96" s="255">
        <f>+K97</f>
        <v>38</v>
      </c>
      <c r="L96" s="256">
        <f t="shared" ref="L96:N96" si="54">+L97+L98</f>
        <v>1</v>
      </c>
      <c r="M96" s="256">
        <f t="shared" si="54"/>
        <v>1</v>
      </c>
      <c r="N96" s="1165">
        <f t="shared" si="54"/>
        <v>0.55000000000000004</v>
      </c>
      <c r="O96" s="2925">
        <f>IF(Q96&gt;0,N96,"na")</f>
        <v>0.55000000000000004</v>
      </c>
      <c r="P96" s="259">
        <f t="shared" ref="P96:S96" si="55">+P97+P98</f>
        <v>1205750000</v>
      </c>
      <c r="Q96" s="259">
        <f t="shared" si="55"/>
        <v>1018278204</v>
      </c>
      <c r="R96" s="259">
        <f t="shared" si="55"/>
        <v>817053498</v>
      </c>
      <c r="S96" s="259">
        <f t="shared" si="55"/>
        <v>746879498</v>
      </c>
      <c r="T96" s="260">
        <f t="shared" si="53"/>
        <v>0.80238729925716845</v>
      </c>
      <c r="U96" s="260">
        <f t="shared" si="53"/>
        <v>0.91411333508543402</v>
      </c>
      <c r="V96" s="1166"/>
      <c r="W96" s="1167"/>
      <c r="X96" s="608"/>
      <c r="Y96" s="2915" t="s">
        <v>194</v>
      </c>
    </row>
    <row r="97" spans="1:25" ht="175.5">
      <c r="A97" s="2850"/>
      <c r="B97" s="2850"/>
      <c r="C97" s="2850"/>
      <c r="D97" s="2850"/>
      <c r="E97" s="220" t="s">
        <v>406</v>
      </c>
      <c r="F97" s="609"/>
      <c r="G97" s="608" t="s">
        <v>195</v>
      </c>
      <c r="H97" s="1169"/>
      <c r="I97" s="608" t="s">
        <v>407</v>
      </c>
      <c r="J97" s="220" t="s">
        <v>408</v>
      </c>
      <c r="K97" s="255">
        <v>38</v>
      </c>
      <c r="L97" s="256">
        <v>0.8</v>
      </c>
      <c r="M97" s="262">
        <v>1</v>
      </c>
      <c r="N97" s="1171">
        <v>0.45</v>
      </c>
      <c r="O97" s="2850"/>
      <c r="P97" s="259">
        <v>272000000</v>
      </c>
      <c r="Q97" s="259">
        <v>327987000</v>
      </c>
      <c r="R97" s="259">
        <v>138235000</v>
      </c>
      <c r="S97" s="259">
        <v>123651000</v>
      </c>
      <c r="T97" s="260">
        <f t="shared" si="53"/>
        <v>0.42146487513224612</v>
      </c>
      <c r="U97" s="260">
        <f t="shared" si="53"/>
        <v>0.8944984989329765</v>
      </c>
      <c r="V97" s="1166">
        <v>45309</v>
      </c>
      <c r="W97" s="1167">
        <v>45657</v>
      </c>
      <c r="X97" s="209" t="s">
        <v>4792</v>
      </c>
      <c r="Y97" s="2850"/>
    </row>
    <row r="98" spans="1:25" ht="162" customHeight="1">
      <c r="A98" s="2851"/>
      <c r="B98" s="2851"/>
      <c r="C98" s="2851"/>
      <c r="D98" s="2851"/>
      <c r="E98" s="608" t="s">
        <v>409</v>
      </c>
      <c r="F98" s="255"/>
      <c r="G98" s="608"/>
      <c r="H98" s="1169"/>
      <c r="I98" s="220" t="s">
        <v>410</v>
      </c>
      <c r="J98" s="220" t="s">
        <v>411</v>
      </c>
      <c r="K98" s="255">
        <v>67</v>
      </c>
      <c r="L98" s="256">
        <v>0.2</v>
      </c>
      <c r="M98" s="262">
        <v>0</v>
      </c>
      <c r="N98" s="1165">
        <v>0.1</v>
      </c>
      <c r="O98" s="2851"/>
      <c r="P98" s="259">
        <v>933750000</v>
      </c>
      <c r="Q98" s="259">
        <v>690291204</v>
      </c>
      <c r="R98" s="259">
        <v>678818498</v>
      </c>
      <c r="S98" s="259">
        <v>623228498</v>
      </c>
      <c r="T98" s="260">
        <f t="shared" si="53"/>
        <v>0.98337990411362686</v>
      </c>
      <c r="U98" s="260">
        <f t="shared" si="53"/>
        <v>0.91810771190858154</v>
      </c>
      <c r="V98" s="1166">
        <v>45309</v>
      </c>
      <c r="W98" s="1167">
        <v>45657</v>
      </c>
      <c r="X98" s="1143" t="s">
        <v>4793</v>
      </c>
      <c r="Y98" s="2851"/>
    </row>
    <row r="99" spans="1:25">
      <c r="A99" s="1082"/>
      <c r="B99" s="1090">
        <v>54020020003</v>
      </c>
      <c r="C99" s="1090" t="s">
        <v>103</v>
      </c>
      <c r="D99" s="1089" t="s">
        <v>199</v>
      </c>
      <c r="E99" s="1089"/>
      <c r="F99" s="1113"/>
      <c r="G99" s="1089"/>
      <c r="H99" s="1081"/>
      <c r="I99" s="1089"/>
      <c r="J99" s="1089"/>
      <c r="K99" s="1082"/>
      <c r="L99" s="1081"/>
      <c r="M99" s="1081"/>
      <c r="N99" s="1110"/>
      <c r="O99" s="1101"/>
      <c r="P99" s="1081"/>
      <c r="Q99" s="1081"/>
      <c r="R99" s="1081"/>
      <c r="S99" s="1081"/>
      <c r="T99" s="1093"/>
      <c r="U99" s="1093"/>
      <c r="V99" s="227"/>
      <c r="W99" s="227"/>
      <c r="X99" s="1081"/>
      <c r="Y99" s="1082"/>
    </row>
    <row r="100" spans="1:25">
      <c r="A100" s="2909">
        <v>4132</v>
      </c>
      <c r="B100" s="2908"/>
      <c r="C100" s="2908" t="s">
        <v>109</v>
      </c>
      <c r="D100" s="2910" t="s">
        <v>200</v>
      </c>
      <c r="E100" s="1107" t="s">
        <v>201</v>
      </c>
      <c r="F100" s="2912"/>
      <c r="G100" s="472"/>
      <c r="H100" s="1095"/>
      <c r="I100" s="1096"/>
      <c r="J100" s="180"/>
      <c r="K100" s="1104">
        <f>K103</f>
        <v>1</v>
      </c>
      <c r="L100" s="1097">
        <f>+L101+L102+L103</f>
        <v>1</v>
      </c>
      <c r="M100" s="1098">
        <f t="shared" ref="M100:N100" si="56">M101+M102+M103</f>
        <v>85</v>
      </c>
      <c r="N100" s="1099">
        <f t="shared" si="56"/>
        <v>0.435</v>
      </c>
      <c r="O100" s="2926">
        <f>IF(Q100&gt;0,N100,"na")</f>
        <v>0.435</v>
      </c>
      <c r="P100" s="1100">
        <f t="shared" ref="P100:S100" si="57">P101+P102+P103</f>
        <v>299712000</v>
      </c>
      <c r="Q100" s="1100">
        <f t="shared" si="57"/>
        <v>299712000</v>
      </c>
      <c r="R100" s="1100">
        <f t="shared" si="57"/>
        <v>151640000</v>
      </c>
      <c r="S100" s="1100">
        <f t="shared" si="57"/>
        <v>94351000</v>
      </c>
      <c r="T100" s="1101">
        <f t="shared" ref="T100:U103" si="58">+IF(Q100=0,0,R100/Q100)</f>
        <v>0.50595238095238093</v>
      </c>
      <c r="U100" s="1101">
        <f t="shared" si="58"/>
        <v>0.62220390398311787</v>
      </c>
      <c r="V100" s="1102"/>
      <c r="W100" s="1103"/>
      <c r="X100" s="1081"/>
      <c r="Y100" s="2908" t="s">
        <v>194</v>
      </c>
    </row>
    <row r="101" spans="1:25" ht="16.5" customHeight="1">
      <c r="A101" s="2850"/>
      <c r="B101" s="2850"/>
      <c r="C101" s="2850"/>
      <c r="D101" s="2850"/>
      <c r="E101" s="180" t="s">
        <v>331</v>
      </c>
      <c r="F101" s="2850"/>
      <c r="G101" s="233"/>
      <c r="H101" s="1095"/>
      <c r="I101" s="209" t="s">
        <v>412</v>
      </c>
      <c r="J101" s="180" t="s">
        <v>122</v>
      </c>
      <c r="K101" s="1104">
        <v>2</v>
      </c>
      <c r="L101" s="1097">
        <v>0.4</v>
      </c>
      <c r="M101" s="1105">
        <v>0</v>
      </c>
      <c r="N101" s="1099">
        <v>4.0000000000000001E-3</v>
      </c>
      <c r="O101" s="2850"/>
      <c r="P101" s="1100">
        <v>79712000</v>
      </c>
      <c r="Q101" s="1100">
        <v>79712000</v>
      </c>
      <c r="R101" s="1100">
        <v>34912000</v>
      </c>
      <c r="S101" s="1100">
        <v>15957000</v>
      </c>
      <c r="T101" s="1101">
        <f t="shared" si="58"/>
        <v>0.43797671617824169</v>
      </c>
      <c r="U101" s="1101">
        <f t="shared" si="58"/>
        <v>0.45706347387717688</v>
      </c>
      <c r="V101" s="1102">
        <v>45310</v>
      </c>
      <c r="W101" s="1103">
        <v>45657</v>
      </c>
      <c r="X101" s="232" t="s">
        <v>4794</v>
      </c>
      <c r="Y101" s="2850"/>
    </row>
    <row r="102" spans="1:25" ht="162">
      <c r="A102" s="2850"/>
      <c r="B102" s="2850"/>
      <c r="C102" s="2850"/>
      <c r="D102" s="2850"/>
      <c r="E102" s="180" t="s">
        <v>332</v>
      </c>
      <c r="F102" s="2850"/>
      <c r="G102" s="209"/>
      <c r="H102" s="1095"/>
      <c r="I102" s="180" t="s">
        <v>333</v>
      </c>
      <c r="J102" s="180" t="s">
        <v>106</v>
      </c>
      <c r="K102" s="1104">
        <v>200</v>
      </c>
      <c r="L102" s="1097">
        <v>0.25</v>
      </c>
      <c r="M102" s="1105">
        <v>85</v>
      </c>
      <c r="N102" s="1092">
        <v>0.42499999999999999</v>
      </c>
      <c r="O102" s="2850"/>
      <c r="P102" s="1100">
        <v>140000000</v>
      </c>
      <c r="Q102" s="1100">
        <v>140000000</v>
      </c>
      <c r="R102" s="1100">
        <v>78936000</v>
      </c>
      <c r="S102" s="1100">
        <v>55060000</v>
      </c>
      <c r="T102" s="1101">
        <f t="shared" si="58"/>
        <v>0.56382857142857146</v>
      </c>
      <c r="U102" s="1101">
        <f t="shared" si="58"/>
        <v>0.6975271105705888</v>
      </c>
      <c r="V102" s="1102">
        <v>45310</v>
      </c>
      <c r="W102" s="1103">
        <v>45657</v>
      </c>
      <c r="X102" s="1152" t="s">
        <v>4795</v>
      </c>
      <c r="Y102" s="2850"/>
    </row>
    <row r="103" spans="1:25" ht="54">
      <c r="A103" s="2851"/>
      <c r="B103" s="2851"/>
      <c r="C103" s="2851"/>
      <c r="D103" s="2851"/>
      <c r="E103" s="180" t="s">
        <v>287</v>
      </c>
      <c r="F103" s="2851"/>
      <c r="G103" s="209" t="s">
        <v>199</v>
      </c>
      <c r="H103" s="1095"/>
      <c r="I103" s="180" t="s">
        <v>123</v>
      </c>
      <c r="J103" s="180" t="s">
        <v>124</v>
      </c>
      <c r="K103" s="1104">
        <v>1</v>
      </c>
      <c r="L103" s="1097">
        <v>0.35</v>
      </c>
      <c r="M103" s="1105">
        <v>0</v>
      </c>
      <c r="N103" s="1131">
        <v>6.0000000000000001E-3</v>
      </c>
      <c r="O103" s="2851"/>
      <c r="P103" s="1100">
        <v>80000000</v>
      </c>
      <c r="Q103" s="1100">
        <v>80000000</v>
      </c>
      <c r="R103" s="1100">
        <v>37792000</v>
      </c>
      <c r="S103" s="1100">
        <v>23334000</v>
      </c>
      <c r="T103" s="1101">
        <f t="shared" si="58"/>
        <v>0.47239999999999999</v>
      </c>
      <c r="U103" s="1101">
        <f t="shared" si="58"/>
        <v>0.61743226079593561</v>
      </c>
      <c r="V103" s="1102">
        <v>45310</v>
      </c>
      <c r="W103" s="1103">
        <v>45657</v>
      </c>
      <c r="X103" s="1152" t="s">
        <v>4796</v>
      </c>
      <c r="Y103" s="2851"/>
    </row>
    <row r="104" spans="1:25">
      <c r="A104" s="1158"/>
      <c r="B104" s="1159">
        <v>54020020004</v>
      </c>
      <c r="C104" s="1159" t="s">
        <v>103</v>
      </c>
      <c r="D104" s="1160" t="s">
        <v>202</v>
      </c>
      <c r="E104" s="1160"/>
      <c r="F104" s="1172"/>
      <c r="G104" s="1160"/>
      <c r="H104" s="261"/>
      <c r="I104" s="1160"/>
      <c r="J104" s="1160"/>
      <c r="K104" s="1158"/>
      <c r="L104" s="261"/>
      <c r="M104" s="261"/>
      <c r="N104" s="1162"/>
      <c r="O104" s="260"/>
      <c r="P104" s="261"/>
      <c r="Q104" s="261"/>
      <c r="R104" s="261"/>
      <c r="S104" s="261"/>
      <c r="T104" s="1163"/>
      <c r="U104" s="1163"/>
      <c r="V104" s="261"/>
      <c r="W104" s="261"/>
      <c r="X104" s="261"/>
      <c r="Y104" s="1158"/>
    </row>
    <row r="105" spans="1:25" ht="16.5" customHeight="1">
      <c r="A105" s="2914">
        <v>4132</v>
      </c>
      <c r="B105" s="2915"/>
      <c r="C105" s="2915" t="s">
        <v>109</v>
      </c>
      <c r="D105" s="2916" t="s">
        <v>203</v>
      </c>
      <c r="E105" s="589" t="s">
        <v>204</v>
      </c>
      <c r="F105" s="1173"/>
      <c r="G105" s="589"/>
      <c r="H105" s="1174"/>
      <c r="I105" s="1164"/>
      <c r="J105" s="220"/>
      <c r="K105" s="255">
        <f>+K106</f>
        <v>86607</v>
      </c>
      <c r="L105" s="256">
        <f t="shared" ref="L105:M105" si="59">L106+L107</f>
        <v>1</v>
      </c>
      <c r="M105" s="257">
        <f t="shared" si="59"/>
        <v>39922</v>
      </c>
      <c r="N105" s="1165">
        <f>+N106+N107</f>
        <v>0.47299999999999998</v>
      </c>
      <c r="O105" s="2917">
        <f>IF(Q105&gt;0,N105,"na")</f>
        <v>0.47299999999999998</v>
      </c>
      <c r="P105" s="259">
        <f t="shared" ref="P105:S105" si="60">P106+P107</f>
        <v>6000000000</v>
      </c>
      <c r="Q105" s="259">
        <f t="shared" si="60"/>
        <v>6000000000</v>
      </c>
      <c r="R105" s="259">
        <f t="shared" si="60"/>
        <v>5682082000</v>
      </c>
      <c r="S105" s="259">
        <f t="shared" si="60"/>
        <v>3179110000</v>
      </c>
      <c r="T105" s="260">
        <f t="shared" ref="T105:U107" si="61">+IF(Q105=0,0,R105/Q105)</f>
        <v>0.94701366666666664</v>
      </c>
      <c r="U105" s="260">
        <f t="shared" si="61"/>
        <v>0.55949738141758598</v>
      </c>
      <c r="V105" s="1166"/>
      <c r="W105" s="1167"/>
      <c r="X105" s="261"/>
      <c r="Y105" s="2915" t="s">
        <v>194</v>
      </c>
    </row>
    <row r="106" spans="1:25" ht="148.5">
      <c r="A106" s="2850"/>
      <c r="B106" s="2850"/>
      <c r="C106" s="2850"/>
      <c r="D106" s="2850"/>
      <c r="E106" s="608" t="s">
        <v>288</v>
      </c>
      <c r="F106" s="2919"/>
      <c r="G106" s="608" t="s">
        <v>202</v>
      </c>
      <c r="H106" s="1175">
        <f>SUM(34882/36300)</f>
        <v>0.96093663911845728</v>
      </c>
      <c r="I106" s="220" t="s">
        <v>4797</v>
      </c>
      <c r="J106" s="220" t="s">
        <v>205</v>
      </c>
      <c r="K106" s="255">
        <v>86607</v>
      </c>
      <c r="L106" s="256">
        <v>0.7</v>
      </c>
      <c r="M106" s="262">
        <v>39922</v>
      </c>
      <c r="N106" s="258">
        <v>0.32300000000000001</v>
      </c>
      <c r="O106" s="2850"/>
      <c r="P106" s="259">
        <v>3103438579</v>
      </c>
      <c r="Q106" s="259">
        <v>3103438579</v>
      </c>
      <c r="R106" s="259">
        <v>3103393593</v>
      </c>
      <c r="S106" s="259">
        <v>1743075169</v>
      </c>
      <c r="T106" s="260">
        <f t="shared" si="61"/>
        <v>0.99998550446581913</v>
      </c>
      <c r="U106" s="260">
        <f t="shared" si="61"/>
        <v>0.56166745105476534</v>
      </c>
      <c r="V106" s="1166">
        <v>45327</v>
      </c>
      <c r="W106" s="1167">
        <v>45657</v>
      </c>
      <c r="X106" s="1176" t="s">
        <v>4798</v>
      </c>
      <c r="Y106" s="2850"/>
    </row>
    <row r="107" spans="1:25" ht="67.5">
      <c r="A107" s="2851"/>
      <c r="B107" s="2851"/>
      <c r="C107" s="2851"/>
      <c r="D107" s="2851"/>
      <c r="E107" s="608" t="s">
        <v>289</v>
      </c>
      <c r="F107" s="2851"/>
      <c r="G107" s="589"/>
      <c r="H107" s="254"/>
      <c r="I107" s="220" t="s">
        <v>334</v>
      </c>
      <c r="J107" s="220" t="s">
        <v>206</v>
      </c>
      <c r="K107" s="255">
        <v>1</v>
      </c>
      <c r="L107" s="256">
        <v>0.3</v>
      </c>
      <c r="M107" s="262">
        <v>0</v>
      </c>
      <c r="N107" s="1165">
        <v>0.15</v>
      </c>
      <c r="O107" s="2851"/>
      <c r="P107" s="259">
        <v>2896561421</v>
      </c>
      <c r="Q107" s="259">
        <v>2896561421</v>
      </c>
      <c r="R107" s="259">
        <v>2578688407</v>
      </c>
      <c r="S107" s="259">
        <v>1436034831</v>
      </c>
      <c r="T107" s="260">
        <f t="shared" si="61"/>
        <v>0.89025849350356312</v>
      </c>
      <c r="U107" s="260">
        <f t="shared" si="61"/>
        <v>0.55688575133847107</v>
      </c>
      <c r="V107" s="1166">
        <v>45327</v>
      </c>
      <c r="W107" s="1167">
        <v>45657</v>
      </c>
      <c r="X107" s="1177" t="s">
        <v>4799</v>
      </c>
      <c r="Y107" s="2851"/>
    </row>
    <row r="108" spans="1:25">
      <c r="A108" s="1082"/>
      <c r="B108" s="1090">
        <v>54020020005</v>
      </c>
      <c r="C108" s="1090" t="s">
        <v>103</v>
      </c>
      <c r="D108" s="1089" t="s">
        <v>207</v>
      </c>
      <c r="E108" s="1089"/>
      <c r="F108" s="1113"/>
      <c r="G108" s="1089"/>
      <c r="H108" s="1081"/>
      <c r="I108" s="1089"/>
      <c r="J108" s="1089"/>
      <c r="K108" s="1082"/>
      <c r="L108" s="1081"/>
      <c r="M108" s="1133"/>
      <c r="N108" s="1110"/>
      <c r="O108" s="1101"/>
      <c r="P108" s="1081"/>
      <c r="Q108" s="1081"/>
      <c r="R108" s="1133"/>
      <c r="S108" s="1081"/>
      <c r="T108" s="1093"/>
      <c r="U108" s="1093"/>
      <c r="V108" s="227"/>
      <c r="W108" s="227"/>
      <c r="X108" s="1081"/>
      <c r="Y108" s="1082"/>
    </row>
    <row r="109" spans="1:25">
      <c r="A109" s="2909">
        <v>4132</v>
      </c>
      <c r="B109" s="2908"/>
      <c r="C109" s="2908" t="s">
        <v>109</v>
      </c>
      <c r="D109" s="2910" t="s">
        <v>208</v>
      </c>
      <c r="E109" s="1107" t="s">
        <v>209</v>
      </c>
      <c r="F109" s="1107"/>
      <c r="G109" s="1107"/>
      <c r="H109" s="1107"/>
      <c r="I109" s="1096"/>
      <c r="J109" s="180"/>
      <c r="K109" s="1107">
        <v>16</v>
      </c>
      <c r="L109" s="1097">
        <f t="shared" ref="L109:N109" si="62">+L110+L111+L112+L113</f>
        <v>1</v>
      </c>
      <c r="M109" s="1098">
        <f t="shared" si="62"/>
        <v>0</v>
      </c>
      <c r="N109" s="1099">
        <f t="shared" si="62"/>
        <v>0.33999999999999997</v>
      </c>
      <c r="O109" s="2911">
        <f>IF(Q109&gt;0,N109,"na")</f>
        <v>0.33999999999999997</v>
      </c>
      <c r="P109" s="1100">
        <f t="shared" ref="P109:S109" si="63">+P110+P111+P112+P113</f>
        <v>694556400</v>
      </c>
      <c r="Q109" s="1100">
        <f t="shared" si="63"/>
        <v>694556400</v>
      </c>
      <c r="R109" s="1100">
        <f t="shared" si="63"/>
        <v>149976500</v>
      </c>
      <c r="S109" s="1100">
        <f t="shared" si="63"/>
        <v>82700500</v>
      </c>
      <c r="T109" s="1101">
        <f t="shared" ref="T109:U112" si="64">+IF(Q109=0,0,R109/Q109)</f>
        <v>0.21593134841173445</v>
      </c>
      <c r="U109" s="1101">
        <f t="shared" si="64"/>
        <v>0.55142305627881705</v>
      </c>
      <c r="V109" s="1102"/>
      <c r="W109" s="1103"/>
      <c r="X109" s="1083"/>
      <c r="Y109" s="2908" t="s">
        <v>194</v>
      </c>
    </row>
    <row r="110" spans="1:25" ht="121.5">
      <c r="A110" s="2850"/>
      <c r="B110" s="2850"/>
      <c r="C110" s="2850"/>
      <c r="D110" s="2850"/>
      <c r="E110" s="180" t="s">
        <v>290</v>
      </c>
      <c r="F110" s="2908"/>
      <c r="G110" s="180"/>
      <c r="H110" s="472"/>
      <c r="I110" s="180" t="s">
        <v>210</v>
      </c>
      <c r="J110" s="180" t="s">
        <v>122</v>
      </c>
      <c r="K110" s="1107">
        <v>3</v>
      </c>
      <c r="L110" s="1097">
        <v>0.2</v>
      </c>
      <c r="M110" s="1105">
        <v>0</v>
      </c>
      <c r="N110" s="1099">
        <v>0.12</v>
      </c>
      <c r="O110" s="2850"/>
      <c r="P110" s="1100">
        <v>427429400</v>
      </c>
      <c r="Q110" s="1100">
        <v>427429400</v>
      </c>
      <c r="R110" s="1100">
        <v>99519000</v>
      </c>
      <c r="S110" s="1100">
        <v>53167000</v>
      </c>
      <c r="T110" s="1101">
        <f t="shared" si="64"/>
        <v>0.23283143368238124</v>
      </c>
      <c r="U110" s="1101">
        <f t="shared" si="64"/>
        <v>0.53423969292295947</v>
      </c>
      <c r="V110" s="1102">
        <v>45315</v>
      </c>
      <c r="W110" s="1103">
        <v>45657</v>
      </c>
      <c r="X110" s="209" t="s">
        <v>4800</v>
      </c>
      <c r="Y110" s="2850"/>
    </row>
    <row r="111" spans="1:25" ht="16.5" customHeight="1">
      <c r="A111" s="2850"/>
      <c r="B111" s="2850"/>
      <c r="C111" s="2850"/>
      <c r="D111" s="2850"/>
      <c r="E111" s="180" t="s">
        <v>291</v>
      </c>
      <c r="F111" s="2850"/>
      <c r="G111" s="180"/>
      <c r="H111" s="472"/>
      <c r="I111" s="180" t="s">
        <v>211</v>
      </c>
      <c r="J111" s="180" t="s">
        <v>110</v>
      </c>
      <c r="K111" s="1107">
        <v>1</v>
      </c>
      <c r="L111" s="1097">
        <v>0.2</v>
      </c>
      <c r="M111" s="1105">
        <v>0</v>
      </c>
      <c r="N111" s="1099">
        <v>0</v>
      </c>
      <c r="O111" s="2850"/>
      <c r="P111" s="1100">
        <v>52673200</v>
      </c>
      <c r="Q111" s="1100">
        <v>52673200</v>
      </c>
      <c r="R111" s="1100">
        <v>0</v>
      </c>
      <c r="S111" s="1100">
        <v>0</v>
      </c>
      <c r="T111" s="1178">
        <f t="shared" si="64"/>
        <v>0</v>
      </c>
      <c r="U111" s="1101">
        <f t="shared" si="64"/>
        <v>0</v>
      </c>
      <c r="V111" s="1102"/>
      <c r="W111" s="1103"/>
      <c r="X111" s="180"/>
      <c r="Y111" s="2850"/>
    </row>
    <row r="112" spans="1:25" ht="162">
      <c r="A112" s="2850"/>
      <c r="B112" s="2850"/>
      <c r="C112" s="2850"/>
      <c r="D112" s="2850"/>
      <c r="E112" s="180" t="s">
        <v>292</v>
      </c>
      <c r="F112" s="2850"/>
      <c r="G112" s="180"/>
      <c r="H112" s="1094"/>
      <c r="I112" s="180" t="s">
        <v>335</v>
      </c>
      <c r="J112" s="180" t="s">
        <v>124</v>
      </c>
      <c r="K112" s="1107">
        <v>10</v>
      </c>
      <c r="L112" s="1097">
        <v>0.2</v>
      </c>
      <c r="M112" s="1098">
        <v>0</v>
      </c>
      <c r="N112" s="1099">
        <v>0.12</v>
      </c>
      <c r="O112" s="2850"/>
      <c r="P112" s="1100">
        <v>36795000</v>
      </c>
      <c r="Q112" s="1100">
        <v>36795000</v>
      </c>
      <c r="R112" s="1100">
        <v>21687000</v>
      </c>
      <c r="S112" s="1100">
        <v>21687000</v>
      </c>
      <c r="T112" s="1101">
        <f t="shared" si="64"/>
        <v>0.58940073379535263</v>
      </c>
      <c r="U112" s="1101">
        <f t="shared" si="64"/>
        <v>1</v>
      </c>
      <c r="V112" s="1102">
        <v>45315</v>
      </c>
      <c r="W112" s="1103">
        <v>45657</v>
      </c>
      <c r="X112" s="1116" t="s">
        <v>4801</v>
      </c>
      <c r="Y112" s="2850"/>
    </row>
    <row r="113" spans="1:25" ht="81">
      <c r="A113" s="2851"/>
      <c r="B113" s="2851"/>
      <c r="C113" s="2851"/>
      <c r="D113" s="2851"/>
      <c r="E113" s="180" t="s">
        <v>293</v>
      </c>
      <c r="F113" s="2851"/>
      <c r="G113" s="180" t="s">
        <v>207</v>
      </c>
      <c r="H113" s="1094"/>
      <c r="I113" s="180" t="s">
        <v>413</v>
      </c>
      <c r="J113" s="180" t="s">
        <v>111</v>
      </c>
      <c r="K113" s="1107">
        <v>2</v>
      </c>
      <c r="L113" s="1097">
        <v>0.4</v>
      </c>
      <c r="M113" s="1105">
        <v>0</v>
      </c>
      <c r="N113" s="1099">
        <v>0.1</v>
      </c>
      <c r="O113" s="2851"/>
      <c r="P113" s="1100">
        <v>177658800</v>
      </c>
      <c r="Q113" s="1100">
        <v>177658800</v>
      </c>
      <c r="R113" s="1100">
        <v>28770500</v>
      </c>
      <c r="S113" s="1100">
        <v>7846500</v>
      </c>
      <c r="T113" s="1101">
        <v>0</v>
      </c>
      <c r="U113" s="1101">
        <f>+IF(R113=0,0,S113/R113)</f>
        <v>0.27272727272727271</v>
      </c>
      <c r="V113" s="1102">
        <v>45315</v>
      </c>
      <c r="W113" s="1103">
        <v>45657</v>
      </c>
      <c r="X113" s="1143" t="s">
        <v>4802</v>
      </c>
      <c r="Y113" s="2851"/>
    </row>
    <row r="114" spans="1:25">
      <c r="A114" s="1082"/>
      <c r="B114" s="1090">
        <v>54020020006</v>
      </c>
      <c r="C114" s="1090" t="s">
        <v>103</v>
      </c>
      <c r="D114" s="1089" t="s">
        <v>212</v>
      </c>
      <c r="E114" s="1089"/>
      <c r="F114" s="1179"/>
      <c r="G114" s="1089"/>
      <c r="H114" s="1081"/>
      <c r="I114" s="1089"/>
      <c r="J114" s="1089"/>
      <c r="K114" s="1082"/>
      <c r="L114" s="1081"/>
      <c r="M114" s="1081"/>
      <c r="N114" s="1110"/>
      <c r="O114" s="1101"/>
      <c r="P114" s="1081"/>
      <c r="Q114" s="1081"/>
      <c r="R114" s="1081"/>
      <c r="S114" s="1081"/>
      <c r="T114" s="1093"/>
      <c r="U114" s="1093"/>
      <c r="V114" s="227"/>
      <c r="W114" s="227"/>
      <c r="X114" s="1081"/>
      <c r="Y114" s="1082"/>
    </row>
    <row r="115" spans="1:25">
      <c r="A115" s="2909">
        <v>4132</v>
      </c>
      <c r="B115" s="2908"/>
      <c r="C115" s="2908" t="s">
        <v>109</v>
      </c>
      <c r="D115" s="2910" t="s">
        <v>213</v>
      </c>
      <c r="E115" s="1107" t="s">
        <v>214</v>
      </c>
      <c r="F115" s="1139"/>
      <c r="G115" s="180"/>
      <c r="H115" s="1180"/>
      <c r="I115" s="1096"/>
      <c r="J115" s="180"/>
      <c r="K115" s="1107">
        <f>K117</f>
        <v>1</v>
      </c>
      <c r="L115" s="1097">
        <f>L116+L117+L118</f>
        <v>1</v>
      </c>
      <c r="M115" s="1098">
        <f>M116+M117+M118+M119+M120</f>
        <v>0</v>
      </c>
      <c r="N115" s="1099">
        <f>+N116+N117+N118</f>
        <v>0.12</v>
      </c>
      <c r="O115" s="2911">
        <f>IF(Q115&gt;0,N115,"na")</f>
        <v>0.12</v>
      </c>
      <c r="P115" s="1100">
        <f t="shared" ref="P115:S115" si="65">P116+P117+P118</f>
        <v>256278200</v>
      </c>
      <c r="Q115" s="1100">
        <f t="shared" si="65"/>
        <v>256278200</v>
      </c>
      <c r="R115" s="1100">
        <f t="shared" si="65"/>
        <v>103451000</v>
      </c>
      <c r="S115" s="1100">
        <f t="shared" si="65"/>
        <v>46382000</v>
      </c>
      <c r="T115" s="1101">
        <f t="shared" ref="T115:U118" si="66">+IF(Q115=0,0,R115/Q115)</f>
        <v>0.40366679647351977</v>
      </c>
      <c r="U115" s="1101">
        <f t="shared" si="66"/>
        <v>0.44834752684845963</v>
      </c>
      <c r="V115" s="1102"/>
      <c r="W115" s="1103"/>
      <c r="X115" s="1081"/>
      <c r="Y115" s="2908" t="s">
        <v>194</v>
      </c>
    </row>
    <row r="116" spans="1:25" ht="16.5" customHeight="1">
      <c r="A116" s="2850"/>
      <c r="B116" s="2850"/>
      <c r="C116" s="2850"/>
      <c r="D116" s="2850"/>
      <c r="E116" s="209" t="s">
        <v>294</v>
      </c>
      <c r="F116" s="2920"/>
      <c r="G116" s="180"/>
      <c r="H116" s="1127"/>
      <c r="I116" s="180" t="s">
        <v>414</v>
      </c>
      <c r="J116" s="180" t="s">
        <v>253</v>
      </c>
      <c r="K116" s="1107">
        <v>4</v>
      </c>
      <c r="L116" s="1097">
        <v>0.2</v>
      </c>
      <c r="M116" s="1105">
        <v>0</v>
      </c>
      <c r="N116" s="1099">
        <v>0</v>
      </c>
      <c r="O116" s="2850"/>
      <c r="P116" s="1100">
        <v>55594000</v>
      </c>
      <c r="Q116" s="1100">
        <v>0</v>
      </c>
      <c r="R116" s="1100">
        <v>0</v>
      </c>
      <c r="S116" s="1100">
        <v>0</v>
      </c>
      <c r="T116" s="1101">
        <f t="shared" si="66"/>
        <v>0</v>
      </c>
      <c r="U116" s="1101">
        <f t="shared" si="66"/>
        <v>0</v>
      </c>
      <c r="V116" s="1102"/>
      <c r="W116" s="1103"/>
      <c r="X116" s="180"/>
      <c r="Y116" s="2850"/>
    </row>
    <row r="117" spans="1:25" ht="40.5" customHeight="1">
      <c r="A117" s="2850"/>
      <c r="B117" s="2850"/>
      <c r="C117" s="2850"/>
      <c r="D117" s="2850"/>
      <c r="E117" s="209" t="s">
        <v>295</v>
      </c>
      <c r="F117" s="2850"/>
      <c r="G117" s="180" t="s">
        <v>212</v>
      </c>
      <c r="H117" s="470"/>
      <c r="I117" s="180" t="s">
        <v>215</v>
      </c>
      <c r="J117" s="180" t="s">
        <v>206</v>
      </c>
      <c r="K117" s="1107">
        <v>1</v>
      </c>
      <c r="L117" s="1097">
        <v>0.45</v>
      </c>
      <c r="M117" s="1098">
        <v>0</v>
      </c>
      <c r="N117" s="1099">
        <v>0.12</v>
      </c>
      <c r="O117" s="2850"/>
      <c r="P117" s="1100">
        <v>123314400</v>
      </c>
      <c r="Q117" s="1100">
        <v>122575600</v>
      </c>
      <c r="R117" s="1100">
        <v>103451000</v>
      </c>
      <c r="S117" s="1100">
        <v>46382000</v>
      </c>
      <c r="T117" s="1101">
        <f t="shared" si="66"/>
        <v>0.84397710474188992</v>
      </c>
      <c r="U117" s="1101">
        <f t="shared" si="66"/>
        <v>0.44834752684845963</v>
      </c>
      <c r="V117" s="1102">
        <v>45309</v>
      </c>
      <c r="W117" s="1103">
        <v>45657</v>
      </c>
      <c r="X117" s="1143" t="s">
        <v>4803</v>
      </c>
      <c r="Y117" s="2850"/>
    </row>
    <row r="118" spans="1:25" ht="27">
      <c r="A118" s="2851"/>
      <c r="B118" s="2851"/>
      <c r="C118" s="2851"/>
      <c r="D118" s="2851"/>
      <c r="E118" s="209" t="s">
        <v>296</v>
      </c>
      <c r="F118" s="2851"/>
      <c r="G118" s="180"/>
      <c r="H118" s="472"/>
      <c r="I118" s="180" t="s">
        <v>123</v>
      </c>
      <c r="J118" s="180" t="s">
        <v>124</v>
      </c>
      <c r="K118" s="1107">
        <v>1</v>
      </c>
      <c r="L118" s="1097">
        <v>0.35</v>
      </c>
      <c r="M118" s="1105">
        <v>0</v>
      </c>
      <c r="N118" s="1099">
        <v>0</v>
      </c>
      <c r="O118" s="2851"/>
      <c r="P118" s="1100">
        <v>77369800</v>
      </c>
      <c r="Q118" s="1100">
        <v>133702600</v>
      </c>
      <c r="R118" s="1100">
        <v>0</v>
      </c>
      <c r="S118" s="1100">
        <v>0</v>
      </c>
      <c r="T118" s="1101">
        <f t="shared" si="66"/>
        <v>0</v>
      </c>
      <c r="U118" s="1101">
        <f t="shared" si="66"/>
        <v>0</v>
      </c>
      <c r="V118" s="1102"/>
      <c r="W118" s="1103"/>
      <c r="X118" s="180"/>
      <c r="Y118" s="2851"/>
    </row>
    <row r="119" spans="1:25">
      <c r="A119" s="1082"/>
      <c r="B119" s="1090">
        <v>54020020007</v>
      </c>
      <c r="C119" s="1090" t="s">
        <v>103</v>
      </c>
      <c r="D119" s="1089" t="s">
        <v>216</v>
      </c>
      <c r="E119" s="1089"/>
      <c r="F119" s="1113"/>
      <c r="G119" s="1089"/>
      <c r="H119" s="1081"/>
      <c r="I119" s="1089"/>
      <c r="J119" s="1089"/>
      <c r="K119" s="1082"/>
      <c r="L119" s="1081"/>
      <c r="M119" s="1081"/>
      <c r="N119" s="1110"/>
      <c r="O119" s="1101"/>
      <c r="P119" s="1081"/>
      <c r="Q119" s="1081"/>
      <c r="R119" s="1081"/>
      <c r="S119" s="1081"/>
      <c r="T119" s="1093"/>
      <c r="U119" s="1093"/>
      <c r="V119" s="227"/>
      <c r="W119" s="227"/>
      <c r="X119" s="1081"/>
      <c r="Y119" s="1082"/>
    </row>
    <row r="120" spans="1:25">
      <c r="A120" s="2909">
        <v>4132</v>
      </c>
      <c r="B120" s="2908"/>
      <c r="C120" s="2908" t="s">
        <v>109</v>
      </c>
      <c r="D120" s="2910" t="s">
        <v>217</v>
      </c>
      <c r="E120" s="1094" t="s">
        <v>218</v>
      </c>
      <c r="F120" s="1104"/>
      <c r="G120" s="180"/>
      <c r="H120" s="1104"/>
      <c r="I120" s="1115"/>
      <c r="J120" s="1115"/>
      <c r="K120" s="1095">
        <f>+K121+K123+K124</f>
        <v>4</v>
      </c>
      <c r="L120" s="1127">
        <f t="shared" ref="L120:N120" si="67">L121+L122+L123+L124</f>
        <v>1</v>
      </c>
      <c r="M120" s="1098">
        <f t="shared" si="67"/>
        <v>0</v>
      </c>
      <c r="N120" s="1099">
        <f t="shared" si="67"/>
        <v>0</v>
      </c>
      <c r="O120" s="2911">
        <f>IF(Q120&gt;0,N120,"na")</f>
        <v>0</v>
      </c>
      <c r="P120" s="1100">
        <f t="shared" ref="P120:S120" si="68">P121+P122+P123+P124</f>
        <v>730428392</v>
      </c>
      <c r="Q120" s="1100">
        <f t="shared" si="68"/>
        <v>730428392</v>
      </c>
      <c r="R120" s="1100">
        <f t="shared" si="68"/>
        <v>0</v>
      </c>
      <c r="S120" s="1100">
        <f t="shared" si="68"/>
        <v>0</v>
      </c>
      <c r="T120" s="1101">
        <f t="shared" ref="T120:U124" si="69">+IF(Q120=0,0,R120/Q120)</f>
        <v>0</v>
      </c>
      <c r="U120" s="1101">
        <f t="shared" si="69"/>
        <v>0</v>
      </c>
      <c r="V120" s="1102"/>
      <c r="W120" s="1103"/>
      <c r="X120" s="1081"/>
      <c r="Y120" s="2908" t="s">
        <v>194</v>
      </c>
    </row>
    <row r="121" spans="1:25" ht="40.5">
      <c r="A121" s="2850"/>
      <c r="B121" s="2850"/>
      <c r="C121" s="2850"/>
      <c r="D121" s="2850"/>
      <c r="E121" s="209" t="s">
        <v>297</v>
      </c>
      <c r="F121" s="2912"/>
      <c r="G121" s="2913" t="s">
        <v>336</v>
      </c>
      <c r="H121" s="1104"/>
      <c r="I121" s="1115" t="s">
        <v>219</v>
      </c>
      <c r="J121" s="1115" t="s">
        <v>220</v>
      </c>
      <c r="K121" s="1095">
        <v>1</v>
      </c>
      <c r="L121" s="1127">
        <v>0.2</v>
      </c>
      <c r="M121" s="1105">
        <v>0</v>
      </c>
      <c r="N121" s="1099">
        <v>0</v>
      </c>
      <c r="O121" s="2850"/>
      <c r="P121" s="1100">
        <v>276340000</v>
      </c>
      <c r="Q121" s="1100">
        <v>276340000</v>
      </c>
      <c r="R121" s="1100">
        <v>0</v>
      </c>
      <c r="S121" s="1100">
        <v>0</v>
      </c>
      <c r="T121" s="1101">
        <f t="shared" si="69"/>
        <v>0</v>
      </c>
      <c r="U121" s="1101">
        <f t="shared" si="69"/>
        <v>0</v>
      </c>
      <c r="V121" s="1102"/>
      <c r="W121" s="1103"/>
      <c r="X121" s="180"/>
      <c r="Y121" s="2850"/>
    </row>
    <row r="122" spans="1:25" ht="16.5" customHeight="1">
      <c r="A122" s="2850"/>
      <c r="B122" s="2850"/>
      <c r="C122" s="2850"/>
      <c r="D122" s="2850"/>
      <c r="E122" s="209" t="s">
        <v>298</v>
      </c>
      <c r="F122" s="2850"/>
      <c r="G122" s="2850"/>
      <c r="H122" s="1104"/>
      <c r="I122" s="1115" t="s">
        <v>337</v>
      </c>
      <c r="J122" s="1115" t="s">
        <v>221</v>
      </c>
      <c r="K122" s="1095">
        <v>1</v>
      </c>
      <c r="L122" s="1127">
        <v>0.15</v>
      </c>
      <c r="M122" s="1098">
        <v>0</v>
      </c>
      <c r="N122" s="1099">
        <v>0</v>
      </c>
      <c r="O122" s="2850"/>
      <c r="P122" s="1100">
        <v>66712800</v>
      </c>
      <c r="Q122" s="1100">
        <v>66712800</v>
      </c>
      <c r="R122" s="1100">
        <v>0</v>
      </c>
      <c r="S122" s="1100">
        <v>0</v>
      </c>
      <c r="T122" s="1101">
        <f t="shared" si="69"/>
        <v>0</v>
      </c>
      <c r="U122" s="1101">
        <f t="shared" si="69"/>
        <v>0</v>
      </c>
      <c r="V122" s="1102"/>
      <c r="W122" s="1103"/>
      <c r="X122" s="180"/>
      <c r="Y122" s="2850"/>
    </row>
    <row r="123" spans="1:25" ht="81">
      <c r="A123" s="2850"/>
      <c r="B123" s="2850"/>
      <c r="C123" s="2850"/>
      <c r="D123" s="2850"/>
      <c r="E123" s="209" t="s">
        <v>338</v>
      </c>
      <c r="F123" s="2850"/>
      <c r="G123" s="2850"/>
      <c r="H123" s="1104"/>
      <c r="I123" s="1115" t="s">
        <v>415</v>
      </c>
      <c r="J123" s="1115" t="s">
        <v>339</v>
      </c>
      <c r="K123" s="1095">
        <v>1</v>
      </c>
      <c r="L123" s="1127">
        <v>0.15</v>
      </c>
      <c r="M123" s="1098">
        <v>0</v>
      </c>
      <c r="N123" s="1099">
        <v>0</v>
      </c>
      <c r="O123" s="2850"/>
      <c r="P123" s="1100">
        <v>334455592</v>
      </c>
      <c r="Q123" s="1100">
        <v>334455592</v>
      </c>
      <c r="R123" s="1100">
        <v>0</v>
      </c>
      <c r="S123" s="1100">
        <v>0</v>
      </c>
      <c r="T123" s="1178">
        <f t="shared" si="69"/>
        <v>0</v>
      </c>
      <c r="U123" s="1101">
        <f t="shared" si="69"/>
        <v>0</v>
      </c>
      <c r="V123" s="1102"/>
      <c r="W123" s="1103"/>
      <c r="X123" s="1081"/>
      <c r="Y123" s="2850"/>
    </row>
    <row r="124" spans="1:25" ht="40.5">
      <c r="A124" s="2851"/>
      <c r="B124" s="2851"/>
      <c r="C124" s="2851"/>
      <c r="D124" s="2851"/>
      <c r="E124" s="209" t="s">
        <v>299</v>
      </c>
      <c r="F124" s="2851"/>
      <c r="G124" s="2851"/>
      <c r="H124" s="1104"/>
      <c r="I124" s="1115" t="s">
        <v>340</v>
      </c>
      <c r="J124" s="1115" t="s">
        <v>222</v>
      </c>
      <c r="K124" s="1095">
        <v>2</v>
      </c>
      <c r="L124" s="1127">
        <v>0.5</v>
      </c>
      <c r="M124" s="1098">
        <v>0</v>
      </c>
      <c r="N124" s="1099">
        <v>0</v>
      </c>
      <c r="O124" s="2851"/>
      <c r="P124" s="1100">
        <v>52920000</v>
      </c>
      <c r="Q124" s="1100">
        <v>52920000</v>
      </c>
      <c r="R124" s="1100">
        <v>0</v>
      </c>
      <c r="S124" s="1100">
        <v>0</v>
      </c>
      <c r="T124" s="1101">
        <f t="shared" si="69"/>
        <v>0</v>
      </c>
      <c r="U124" s="1101">
        <f t="shared" si="69"/>
        <v>0</v>
      </c>
      <c r="V124" s="1102"/>
      <c r="W124" s="1103"/>
      <c r="X124" s="1081"/>
      <c r="Y124" s="2851"/>
    </row>
    <row r="125" spans="1:25">
      <c r="A125" s="1082"/>
      <c r="B125" s="1090">
        <v>54020020008</v>
      </c>
      <c r="C125" s="1090" t="s">
        <v>103</v>
      </c>
      <c r="D125" s="1089" t="s">
        <v>223</v>
      </c>
      <c r="E125" s="1089"/>
      <c r="F125" s="1179"/>
      <c r="G125" s="1089"/>
      <c r="H125" s="1081"/>
      <c r="I125" s="1089"/>
      <c r="J125" s="1089"/>
      <c r="K125" s="1082"/>
      <c r="L125" s="1081"/>
      <c r="M125" s="1081"/>
      <c r="N125" s="1110"/>
      <c r="O125" s="1101"/>
      <c r="P125" s="1081"/>
      <c r="Q125" s="1081"/>
      <c r="R125" s="1081"/>
      <c r="S125" s="1081"/>
      <c r="T125" s="1093"/>
      <c r="U125" s="1093"/>
      <c r="V125" s="227"/>
      <c r="W125" s="227"/>
      <c r="X125" s="1081"/>
      <c r="Y125" s="1082"/>
    </row>
    <row r="126" spans="1:25" ht="16.5" customHeight="1">
      <c r="A126" s="2914">
        <v>4132</v>
      </c>
      <c r="B126" s="2915"/>
      <c r="C126" s="2915" t="s">
        <v>109</v>
      </c>
      <c r="D126" s="2916" t="s">
        <v>224</v>
      </c>
      <c r="E126" s="589" t="s">
        <v>225</v>
      </c>
      <c r="F126" s="1181"/>
      <c r="G126" s="220"/>
      <c r="H126" s="1173"/>
      <c r="I126" s="1164"/>
      <c r="J126" s="220"/>
      <c r="K126" s="589">
        <f>K127</f>
        <v>1</v>
      </c>
      <c r="L126" s="256">
        <f>L127+L128</f>
        <v>1</v>
      </c>
      <c r="M126" s="257">
        <f>M127</f>
        <v>0</v>
      </c>
      <c r="N126" s="1165">
        <f>N127+N128</f>
        <v>0.33999999999999997</v>
      </c>
      <c r="O126" s="2917">
        <f>IF(Q126&gt;0,N126,"na")</f>
        <v>0.33999999999999997</v>
      </c>
      <c r="P126" s="259">
        <f t="shared" ref="P126:S126" si="70">P127+P128</f>
        <v>564122982</v>
      </c>
      <c r="Q126" s="259">
        <f t="shared" si="70"/>
        <v>674082593</v>
      </c>
      <c r="R126" s="259">
        <f t="shared" si="70"/>
        <v>154733178</v>
      </c>
      <c r="S126" s="259">
        <f t="shared" si="70"/>
        <v>74933178</v>
      </c>
      <c r="T126" s="260">
        <f t="shared" ref="T126:U128" si="71">+IF(Q126=0,0,R126/Q126)</f>
        <v>0.22954631911107665</v>
      </c>
      <c r="U126" s="260">
        <f t="shared" si="71"/>
        <v>0.48427350209274445</v>
      </c>
      <c r="V126" s="1166"/>
      <c r="W126" s="1167"/>
      <c r="X126" s="261"/>
      <c r="Y126" s="2915" t="s">
        <v>155</v>
      </c>
    </row>
    <row r="127" spans="1:25" ht="94.5">
      <c r="A127" s="2850"/>
      <c r="B127" s="2850"/>
      <c r="C127" s="2850"/>
      <c r="D127" s="2850"/>
      <c r="E127" s="608" t="s">
        <v>300</v>
      </c>
      <c r="F127" s="2918"/>
      <c r="G127" s="220" t="s">
        <v>223</v>
      </c>
      <c r="H127" s="1181"/>
      <c r="I127" s="220" t="s">
        <v>226</v>
      </c>
      <c r="J127" s="220" t="s">
        <v>227</v>
      </c>
      <c r="K127" s="589">
        <v>1</v>
      </c>
      <c r="L127" s="256">
        <v>0.6</v>
      </c>
      <c r="M127" s="262">
        <v>0</v>
      </c>
      <c r="N127" s="1165">
        <v>0.18</v>
      </c>
      <c r="O127" s="2850"/>
      <c r="P127" s="259">
        <v>290005360</v>
      </c>
      <c r="Q127" s="259">
        <v>311005360</v>
      </c>
      <c r="R127" s="259">
        <v>99229000</v>
      </c>
      <c r="S127" s="259">
        <v>42735000</v>
      </c>
      <c r="T127" s="260">
        <f t="shared" si="71"/>
        <v>0.31905880979028783</v>
      </c>
      <c r="U127" s="260">
        <f t="shared" si="71"/>
        <v>0.43067046931844521</v>
      </c>
      <c r="V127" s="1166">
        <v>45423</v>
      </c>
      <c r="W127" s="1167">
        <v>45657</v>
      </c>
      <c r="X127" s="608" t="s">
        <v>4804</v>
      </c>
      <c r="Y127" s="2850"/>
    </row>
    <row r="128" spans="1:25" ht="108">
      <c r="A128" s="2851"/>
      <c r="B128" s="2851"/>
      <c r="C128" s="2851"/>
      <c r="D128" s="2851"/>
      <c r="E128" s="608" t="s">
        <v>301</v>
      </c>
      <c r="F128" s="2851"/>
      <c r="G128" s="608"/>
      <c r="H128" s="1182"/>
      <c r="I128" s="220" t="s">
        <v>228</v>
      </c>
      <c r="J128" s="220" t="s">
        <v>229</v>
      </c>
      <c r="K128" s="589">
        <v>200</v>
      </c>
      <c r="L128" s="256">
        <v>0.4</v>
      </c>
      <c r="M128" s="257">
        <v>70</v>
      </c>
      <c r="N128" s="1165">
        <v>0.16</v>
      </c>
      <c r="O128" s="2851"/>
      <c r="P128" s="259">
        <v>274117622</v>
      </c>
      <c r="Q128" s="259">
        <v>363077233</v>
      </c>
      <c r="R128" s="259">
        <v>55504178</v>
      </c>
      <c r="S128" s="259">
        <v>32198178</v>
      </c>
      <c r="T128" s="260">
        <f t="shared" si="71"/>
        <v>0.15287154620350432</v>
      </c>
      <c r="U128" s="260">
        <f t="shared" si="71"/>
        <v>0.58010368156429593</v>
      </c>
      <c r="V128" s="1166">
        <v>45423</v>
      </c>
      <c r="W128" s="1167">
        <v>45657</v>
      </c>
      <c r="X128" s="209" t="s">
        <v>4805</v>
      </c>
      <c r="Y128" s="2851"/>
    </row>
    <row r="129" spans="1:25" ht="16.5" customHeight="1">
      <c r="A129" s="1082"/>
      <c r="B129" s="1090">
        <v>54020020009</v>
      </c>
      <c r="C129" s="1090" t="s">
        <v>103</v>
      </c>
      <c r="D129" s="1089" t="s">
        <v>230</v>
      </c>
      <c r="E129" s="1089"/>
      <c r="F129" s="1179"/>
      <c r="G129" s="1089"/>
      <c r="H129" s="1081"/>
      <c r="I129" s="1089"/>
      <c r="J129" s="1089"/>
      <c r="K129" s="1082"/>
      <c r="L129" s="1081"/>
      <c r="M129" s="1081"/>
      <c r="N129" s="1110"/>
      <c r="O129" s="1101"/>
      <c r="P129" s="1081"/>
      <c r="Q129" s="1081"/>
      <c r="R129" s="1081"/>
      <c r="S129" s="1081"/>
      <c r="T129" s="1093"/>
      <c r="U129" s="1093"/>
      <c r="V129" s="227"/>
      <c r="W129" s="227"/>
      <c r="X129" s="1081"/>
      <c r="Y129" s="1082"/>
    </row>
    <row r="130" spans="1:25">
      <c r="A130" s="2909">
        <v>4132</v>
      </c>
      <c r="B130" s="2909"/>
      <c r="C130" s="2908" t="s">
        <v>109</v>
      </c>
      <c r="D130" s="2910" t="s">
        <v>231</v>
      </c>
      <c r="E130" s="1094" t="s">
        <v>232</v>
      </c>
      <c r="F130" s="1180"/>
      <c r="G130" s="1107"/>
      <c r="H130" s="1183">
        <f>+H131</f>
        <v>11.763373853254851</v>
      </c>
      <c r="I130" s="180"/>
      <c r="J130" s="180"/>
      <c r="K130" s="1104">
        <f>+K131</f>
        <v>1</v>
      </c>
      <c r="L130" s="1097">
        <f t="shared" ref="L130:N130" si="72">L131</f>
        <v>1</v>
      </c>
      <c r="M130" s="1098">
        <f t="shared" si="72"/>
        <v>0</v>
      </c>
      <c r="N130" s="1092">
        <f t="shared" si="72"/>
        <v>0.46300000000000002</v>
      </c>
      <c r="O130" s="2911">
        <f>IF(Q130&gt;0,N130,"NA")</f>
        <v>0.46300000000000002</v>
      </c>
      <c r="P130" s="1100">
        <f t="shared" ref="P130:S130" si="73">P131</f>
        <v>450000000</v>
      </c>
      <c r="Q130" s="1100">
        <f t="shared" si="73"/>
        <v>250000000</v>
      </c>
      <c r="R130" s="1100">
        <f t="shared" si="73"/>
        <v>178321500</v>
      </c>
      <c r="S130" s="1100">
        <f t="shared" si="73"/>
        <v>125423500</v>
      </c>
      <c r="T130" s="1101">
        <f t="shared" ref="T130:U131" si="74">+IF(Q130=0,0,R130/Q130)</f>
        <v>0.71328599999999998</v>
      </c>
      <c r="U130" s="1101">
        <f t="shared" si="74"/>
        <v>0.7033560170815073</v>
      </c>
      <c r="V130" s="1102"/>
      <c r="W130" s="1103"/>
      <c r="X130" s="1081"/>
      <c r="Y130" s="2908" t="s">
        <v>155</v>
      </c>
    </row>
    <row r="131" spans="1:25" ht="121.5">
      <c r="A131" s="2851"/>
      <c r="B131" s="2851"/>
      <c r="C131" s="2851"/>
      <c r="D131" s="2851"/>
      <c r="E131" s="180" t="s">
        <v>302</v>
      </c>
      <c r="F131" s="1139"/>
      <c r="G131" s="209" t="s">
        <v>230</v>
      </c>
      <c r="H131" s="1183">
        <f>SUM(80000/680077)*100</f>
        <v>11.763373853254851</v>
      </c>
      <c r="I131" s="1115" t="s">
        <v>341</v>
      </c>
      <c r="J131" s="1115" t="s">
        <v>233</v>
      </c>
      <c r="K131" s="1095">
        <v>1</v>
      </c>
      <c r="L131" s="1127">
        <v>1</v>
      </c>
      <c r="M131" s="1105">
        <v>0</v>
      </c>
      <c r="N131" s="1092">
        <v>0.46300000000000002</v>
      </c>
      <c r="O131" s="2851"/>
      <c r="P131" s="1100">
        <v>450000000</v>
      </c>
      <c r="Q131" s="1100">
        <v>250000000</v>
      </c>
      <c r="R131" s="1100">
        <v>178321500</v>
      </c>
      <c r="S131" s="1100">
        <v>125423500</v>
      </c>
      <c r="T131" s="1101">
        <f t="shared" si="74"/>
        <v>0.71328599999999998</v>
      </c>
      <c r="U131" s="1101">
        <f t="shared" si="74"/>
        <v>0.7033560170815073</v>
      </c>
      <c r="V131" s="1102">
        <v>45341</v>
      </c>
      <c r="W131" s="1103">
        <v>45657</v>
      </c>
      <c r="X131" s="180" t="s">
        <v>4806</v>
      </c>
      <c r="Y131" s="2851"/>
    </row>
    <row r="132" spans="1:25" ht="16.5" customHeight="1">
      <c r="A132" s="1082"/>
      <c r="B132" s="1090">
        <v>54020020010</v>
      </c>
      <c r="C132" s="1090" t="s">
        <v>103</v>
      </c>
      <c r="D132" s="1089" t="s">
        <v>342</v>
      </c>
      <c r="E132" s="1089"/>
      <c r="F132" s="1113"/>
      <c r="G132" s="1089"/>
      <c r="H132" s="1081"/>
      <c r="I132" s="1089"/>
      <c r="J132" s="1089"/>
      <c r="K132" s="1082"/>
      <c r="L132" s="1081"/>
      <c r="M132" s="1081"/>
      <c r="N132" s="1110"/>
      <c r="O132" s="1101"/>
      <c r="P132" s="1081"/>
      <c r="Q132" s="1081"/>
      <c r="R132" s="1081"/>
      <c r="S132" s="1081" t="s">
        <v>251</v>
      </c>
      <c r="T132" s="1093"/>
      <c r="U132" s="1093"/>
      <c r="V132" s="227"/>
      <c r="W132" s="227"/>
      <c r="X132" s="1081"/>
      <c r="Y132" s="1082"/>
    </row>
    <row r="133" spans="1:25">
      <c r="A133" s="2909">
        <v>4132</v>
      </c>
      <c r="B133" s="2908"/>
      <c r="C133" s="2909" t="s">
        <v>109</v>
      </c>
      <c r="D133" s="2910" t="s">
        <v>234</v>
      </c>
      <c r="E133" s="1094" t="s">
        <v>235</v>
      </c>
      <c r="F133" s="1104"/>
      <c r="G133" s="180"/>
      <c r="H133" s="1104">
        <v>3</v>
      </c>
      <c r="I133" s="1115"/>
      <c r="J133" s="1115"/>
      <c r="K133" s="1095">
        <f t="shared" ref="K133:N133" si="75">K134</f>
        <v>1</v>
      </c>
      <c r="L133" s="1184">
        <f t="shared" si="75"/>
        <v>88</v>
      </c>
      <c r="M133" s="1098">
        <f t="shared" si="75"/>
        <v>8</v>
      </c>
      <c r="N133" s="1099">
        <f t="shared" si="75"/>
        <v>9.0999999999999998E-2</v>
      </c>
      <c r="O133" s="2911">
        <f>IF(Q133&gt;0,N133,"NA")</f>
        <v>9.0999999999999998E-2</v>
      </c>
      <c r="P133" s="1100">
        <f t="shared" ref="P133:S133" si="76">P134</f>
        <v>200000000</v>
      </c>
      <c r="Q133" s="1100">
        <f t="shared" si="76"/>
        <v>400000000</v>
      </c>
      <c r="R133" s="1100">
        <f t="shared" si="76"/>
        <v>135814000</v>
      </c>
      <c r="S133" s="1100">
        <f t="shared" si="76"/>
        <v>46286000</v>
      </c>
      <c r="T133" s="1101">
        <f t="shared" ref="T133:U134" si="77">+IF(Q133=0,0,R133/Q133)</f>
        <v>0.33953499999999998</v>
      </c>
      <c r="U133" s="1101">
        <f t="shared" si="77"/>
        <v>0.34080433534098103</v>
      </c>
      <c r="V133" s="1102"/>
      <c r="W133" s="1103"/>
      <c r="X133" s="1081"/>
      <c r="Y133" s="2908" t="s">
        <v>155</v>
      </c>
    </row>
    <row r="134" spans="1:25" ht="189">
      <c r="A134" s="2851"/>
      <c r="B134" s="2851"/>
      <c r="C134" s="2851"/>
      <c r="D134" s="2851"/>
      <c r="E134" s="209" t="s">
        <v>303</v>
      </c>
      <c r="F134" s="1104"/>
      <c r="G134" s="180" t="s">
        <v>236</v>
      </c>
      <c r="H134" s="1104">
        <v>8</v>
      </c>
      <c r="I134" s="1115" t="s">
        <v>343</v>
      </c>
      <c r="J134" s="1185" t="s">
        <v>233</v>
      </c>
      <c r="K134" s="1095">
        <v>1</v>
      </c>
      <c r="L134" s="1186">
        <v>88</v>
      </c>
      <c r="M134" s="1105">
        <v>8</v>
      </c>
      <c r="N134" s="1099">
        <v>9.0999999999999998E-2</v>
      </c>
      <c r="O134" s="2851"/>
      <c r="P134" s="1100">
        <v>200000000</v>
      </c>
      <c r="Q134" s="1100">
        <v>400000000</v>
      </c>
      <c r="R134" s="1100">
        <v>135814000</v>
      </c>
      <c r="S134" s="1100">
        <v>46286000</v>
      </c>
      <c r="T134" s="1101">
        <f t="shared" si="77"/>
        <v>0.33953499999999998</v>
      </c>
      <c r="U134" s="1101">
        <f t="shared" si="77"/>
        <v>0.34080433534098103</v>
      </c>
      <c r="V134" s="1102">
        <v>44999</v>
      </c>
      <c r="W134" s="1103">
        <v>45077</v>
      </c>
      <c r="X134" s="209" t="s">
        <v>4807</v>
      </c>
      <c r="Y134" s="2851"/>
    </row>
    <row r="135" spans="1:25" ht="25.5">
      <c r="A135" s="1082"/>
      <c r="B135" s="1090">
        <v>54020020025</v>
      </c>
      <c r="C135" s="1090" t="s">
        <v>103</v>
      </c>
      <c r="D135" s="1089" t="s">
        <v>238</v>
      </c>
      <c r="E135" s="1090"/>
      <c r="F135" s="1113"/>
      <c r="G135" s="1089"/>
      <c r="H135" s="1081"/>
      <c r="I135" s="1089"/>
      <c r="J135" s="1089"/>
      <c r="K135" s="1082"/>
      <c r="L135" s="1081"/>
      <c r="M135" s="1081"/>
      <c r="N135" s="1110"/>
      <c r="O135" s="1101"/>
      <c r="P135" s="1081"/>
      <c r="Q135" s="1081"/>
      <c r="R135" s="1081"/>
      <c r="S135" s="1081"/>
      <c r="T135" s="1093"/>
      <c r="U135" s="1093"/>
      <c r="V135" s="227"/>
      <c r="W135" s="227"/>
      <c r="X135" s="1081"/>
      <c r="Y135" s="1082"/>
    </row>
    <row r="136" spans="1:25" ht="16.5" customHeight="1">
      <c r="A136" s="2909">
        <v>4132</v>
      </c>
      <c r="B136" s="2908"/>
      <c r="C136" s="2908" t="s">
        <v>109</v>
      </c>
      <c r="D136" s="2910" t="s">
        <v>239</v>
      </c>
      <c r="E136" s="1107" t="s">
        <v>416</v>
      </c>
      <c r="F136" s="1104"/>
      <c r="G136" s="1107"/>
      <c r="H136" s="1104"/>
      <c r="I136" s="180"/>
      <c r="J136" s="180"/>
      <c r="K136" s="1107">
        <f>+K137</f>
        <v>2</v>
      </c>
      <c r="L136" s="1097">
        <f t="shared" ref="L136:N136" si="78">L137</f>
        <v>1</v>
      </c>
      <c r="M136" s="1098">
        <f t="shared" si="78"/>
        <v>0</v>
      </c>
      <c r="N136" s="1099">
        <f t="shared" si="78"/>
        <v>0.02</v>
      </c>
      <c r="O136" s="2911">
        <f>IF(Q136&gt;0,N136,"NA")</f>
        <v>0.02</v>
      </c>
      <c r="P136" s="1100">
        <f t="shared" ref="P136:S136" si="79">P137</f>
        <v>2990000000</v>
      </c>
      <c r="Q136" s="1100">
        <f t="shared" si="79"/>
        <v>3153232822</v>
      </c>
      <c r="R136" s="1100">
        <f t="shared" si="79"/>
        <v>331092000</v>
      </c>
      <c r="S136" s="1100">
        <f t="shared" si="79"/>
        <v>126438000</v>
      </c>
      <c r="T136" s="1101">
        <f t="shared" ref="T136:U137" si="80">+IF(Q136=0,0,R136/Q136)</f>
        <v>0.1050008098640805</v>
      </c>
      <c r="U136" s="1101">
        <f t="shared" si="80"/>
        <v>0.38188177304193394</v>
      </c>
      <c r="V136" s="1102"/>
      <c r="W136" s="1103"/>
      <c r="X136" s="1081"/>
      <c r="Y136" s="2908" t="s">
        <v>155</v>
      </c>
    </row>
    <row r="137" spans="1:25" ht="108" customHeight="1">
      <c r="A137" s="2851"/>
      <c r="B137" s="2851"/>
      <c r="C137" s="2851"/>
      <c r="D137" s="2851"/>
      <c r="E137" s="209" t="s">
        <v>417</v>
      </c>
      <c r="F137" s="1104"/>
      <c r="G137" s="209" t="s">
        <v>238</v>
      </c>
      <c r="H137" s="1104"/>
      <c r="I137" s="180" t="s">
        <v>418</v>
      </c>
      <c r="J137" s="180" t="s">
        <v>419</v>
      </c>
      <c r="K137" s="1107">
        <v>2</v>
      </c>
      <c r="L137" s="1097">
        <v>1</v>
      </c>
      <c r="M137" s="1105">
        <v>0</v>
      </c>
      <c r="N137" s="1099">
        <v>0.02</v>
      </c>
      <c r="O137" s="2851"/>
      <c r="P137" s="1100">
        <v>2990000000</v>
      </c>
      <c r="Q137" s="1100">
        <v>3153232822</v>
      </c>
      <c r="R137" s="1100">
        <v>331092000</v>
      </c>
      <c r="S137" s="1100">
        <v>126438000</v>
      </c>
      <c r="T137" s="1101">
        <f t="shared" si="80"/>
        <v>0.1050008098640805</v>
      </c>
      <c r="U137" s="1101">
        <f t="shared" si="80"/>
        <v>0.38188177304193394</v>
      </c>
      <c r="V137" s="1102">
        <v>45343</v>
      </c>
      <c r="W137" s="1103">
        <v>45657</v>
      </c>
      <c r="X137" s="209" t="s">
        <v>4808</v>
      </c>
      <c r="Y137" s="2851"/>
    </row>
    <row r="138" spans="1:25">
      <c r="A138" s="1083"/>
      <c r="B138" s="1084">
        <v>5402003</v>
      </c>
      <c r="C138" s="1084" t="s">
        <v>102</v>
      </c>
      <c r="D138" s="1085" t="s">
        <v>240</v>
      </c>
      <c r="E138" s="1085"/>
      <c r="F138" s="1128"/>
      <c r="G138" s="1084"/>
      <c r="H138" s="1128"/>
      <c r="I138" s="1085"/>
      <c r="J138" s="1085"/>
      <c r="K138" s="1084"/>
      <c r="L138" s="1129"/>
      <c r="M138" s="1129"/>
      <c r="N138" s="1110"/>
      <c r="O138" s="1101"/>
      <c r="P138" s="1081"/>
      <c r="Q138" s="1081"/>
      <c r="R138" s="1081"/>
      <c r="S138" s="1081"/>
      <c r="T138" s="1093"/>
      <c r="U138" s="1093"/>
      <c r="V138" s="210"/>
      <c r="W138" s="210"/>
      <c r="X138" s="1081"/>
      <c r="Y138" s="1082"/>
    </row>
    <row r="139" spans="1:25">
      <c r="A139" s="1082"/>
      <c r="B139" s="1090">
        <v>54020030019</v>
      </c>
      <c r="C139" s="1090" t="s">
        <v>103</v>
      </c>
      <c r="D139" s="1089" t="s">
        <v>242</v>
      </c>
      <c r="E139" s="1089"/>
      <c r="F139" s="1113"/>
      <c r="G139" s="1089"/>
      <c r="H139" s="1081"/>
      <c r="I139" s="1089"/>
      <c r="J139" s="1089"/>
      <c r="K139" s="1082"/>
      <c r="L139" s="1081"/>
      <c r="M139" s="1081"/>
      <c r="N139" s="1110"/>
      <c r="O139" s="1101"/>
      <c r="P139" s="1081"/>
      <c r="Q139" s="1081"/>
      <c r="R139" s="1081"/>
      <c r="S139" s="1081"/>
      <c r="T139" s="1093"/>
      <c r="U139" s="1093"/>
      <c r="V139" s="227"/>
      <c r="W139" s="227"/>
      <c r="X139" s="1081"/>
      <c r="Y139" s="1082"/>
    </row>
    <row r="140" spans="1:25">
      <c r="A140" s="2909">
        <v>4132</v>
      </c>
      <c r="B140" s="2908"/>
      <c r="C140" s="2908" t="s">
        <v>109</v>
      </c>
      <c r="D140" s="2910" t="s">
        <v>243</v>
      </c>
      <c r="E140" s="1107" t="s">
        <v>244</v>
      </c>
      <c r="F140" s="1104"/>
      <c r="G140" s="1107"/>
      <c r="H140" s="1104"/>
      <c r="I140" s="180"/>
      <c r="J140" s="180"/>
      <c r="K140" s="1107">
        <f>K141</f>
        <v>1</v>
      </c>
      <c r="L140" s="1097">
        <f t="shared" ref="L140:N140" si="81">L141+L142</f>
        <v>1</v>
      </c>
      <c r="M140" s="1098">
        <f t="shared" si="81"/>
        <v>0</v>
      </c>
      <c r="N140" s="1099">
        <f t="shared" si="81"/>
        <v>3.5000000000000003E-2</v>
      </c>
      <c r="O140" s="2911">
        <f>IF(Q140&gt;0,N140,"na")</f>
        <v>3.5000000000000003E-2</v>
      </c>
      <c r="P140" s="1100">
        <f t="shared" ref="P140:S140" si="82">P141+P142</f>
        <v>1116067000</v>
      </c>
      <c r="Q140" s="1100">
        <f t="shared" si="82"/>
        <v>1116067000</v>
      </c>
      <c r="R140" s="1100">
        <f t="shared" si="82"/>
        <v>1001412000</v>
      </c>
      <c r="S140" s="1100">
        <f t="shared" si="82"/>
        <v>593798000</v>
      </c>
      <c r="T140" s="1101">
        <f t="shared" ref="T140:U142" si="83">+IF(Q140=0,0,R140/Q140)</f>
        <v>0.8972687123622507</v>
      </c>
      <c r="U140" s="1101">
        <f t="shared" si="83"/>
        <v>0.59296073943591654</v>
      </c>
      <c r="V140" s="1102"/>
      <c r="W140" s="1103"/>
      <c r="X140" s="1081"/>
      <c r="Y140" s="2908" t="s">
        <v>141</v>
      </c>
    </row>
    <row r="141" spans="1:25" ht="108">
      <c r="A141" s="2850"/>
      <c r="B141" s="2850"/>
      <c r="C141" s="2850"/>
      <c r="D141" s="2850"/>
      <c r="E141" s="209" t="s">
        <v>304</v>
      </c>
      <c r="F141" s="2912"/>
      <c r="G141" s="180" t="s">
        <v>242</v>
      </c>
      <c r="H141" s="1104"/>
      <c r="I141" s="180" t="s">
        <v>245</v>
      </c>
      <c r="J141" s="180" t="s">
        <v>246</v>
      </c>
      <c r="K141" s="1107">
        <v>1</v>
      </c>
      <c r="L141" s="1097">
        <v>0.74</v>
      </c>
      <c r="M141" s="1105">
        <v>0</v>
      </c>
      <c r="N141" s="1099">
        <v>1.4999999999999999E-2</v>
      </c>
      <c r="O141" s="2850"/>
      <c r="P141" s="1100">
        <v>621108000</v>
      </c>
      <c r="Q141" s="1100">
        <v>621108000</v>
      </c>
      <c r="R141" s="1100">
        <v>538600000</v>
      </c>
      <c r="S141" s="1100">
        <v>329045000</v>
      </c>
      <c r="T141" s="1101">
        <f t="shared" si="83"/>
        <v>0.8671599786188553</v>
      </c>
      <c r="U141" s="1101">
        <f t="shared" si="83"/>
        <v>0.61092647604901595</v>
      </c>
      <c r="V141" s="1102">
        <v>45324</v>
      </c>
      <c r="W141" s="1103">
        <v>45657</v>
      </c>
      <c r="X141" s="180" t="s">
        <v>420</v>
      </c>
      <c r="Y141" s="2850"/>
    </row>
    <row r="142" spans="1:25" ht="108">
      <c r="A142" s="2856"/>
      <c r="B142" s="2856"/>
      <c r="C142" s="2856"/>
      <c r="D142" s="2856"/>
      <c r="E142" s="219" t="s">
        <v>305</v>
      </c>
      <c r="F142" s="2856"/>
      <c r="G142" s="1187"/>
      <c r="H142" s="1188"/>
      <c r="I142" s="1189" t="s">
        <v>247</v>
      </c>
      <c r="J142" s="1189" t="s">
        <v>241</v>
      </c>
      <c r="K142" s="1187">
        <v>1</v>
      </c>
      <c r="L142" s="1190">
        <v>0.26</v>
      </c>
      <c r="M142" s="1190">
        <v>0</v>
      </c>
      <c r="N142" s="1191">
        <v>0.02</v>
      </c>
      <c r="O142" s="2856"/>
      <c r="P142" s="1192">
        <v>494959000</v>
      </c>
      <c r="Q142" s="1192">
        <v>494959000</v>
      </c>
      <c r="R142" s="1192">
        <v>462812000</v>
      </c>
      <c r="S142" s="1192">
        <v>264753000</v>
      </c>
      <c r="T142" s="1193">
        <f t="shared" si="83"/>
        <v>0.9350511860578351</v>
      </c>
      <c r="U142" s="1193">
        <f t="shared" si="83"/>
        <v>0.57205301504714656</v>
      </c>
      <c r="V142" s="1194">
        <v>45324</v>
      </c>
      <c r="W142" s="1195">
        <v>45657</v>
      </c>
      <c r="X142" s="219" t="s">
        <v>4809</v>
      </c>
      <c r="Y142" s="2856"/>
    </row>
    <row r="143" spans="1:25">
      <c r="A143" s="1196"/>
      <c r="B143" s="1197"/>
      <c r="C143" s="1198"/>
      <c r="D143" s="1196"/>
      <c r="E143" s="1197"/>
      <c r="F143" s="1196"/>
      <c r="G143" s="1196"/>
      <c r="H143" s="1196"/>
      <c r="I143" s="1196"/>
      <c r="J143" s="1198"/>
      <c r="K143" s="1198"/>
      <c r="L143" s="1196"/>
      <c r="M143" s="1196"/>
      <c r="N143" s="1199"/>
      <c r="O143" s="1200"/>
      <c r="P143" s="1196"/>
      <c r="Q143" s="1196"/>
      <c r="R143" s="1196"/>
      <c r="S143" s="1196"/>
      <c r="T143" s="1201"/>
      <c r="U143" s="1201"/>
      <c r="V143" s="1196"/>
      <c r="W143" s="1196"/>
      <c r="X143" s="1202"/>
      <c r="Y143" s="1203"/>
    </row>
    <row r="144" spans="1:25">
      <c r="A144" s="263"/>
      <c r="B144" s="866" t="s">
        <v>36</v>
      </c>
      <c r="C144" s="264">
        <f>COUNTIF(C7:C142,"pr")</f>
        <v>30</v>
      </c>
      <c r="D144" s="263"/>
      <c r="E144" s="263" t="s">
        <v>112</v>
      </c>
      <c r="F144" s="264"/>
      <c r="G144" s="264">
        <f>COUNTIF(O10:O142,"na")</f>
        <v>0</v>
      </c>
      <c r="H144" s="264"/>
      <c r="I144" s="263"/>
      <c r="J144" s="264"/>
      <c r="K144" s="264"/>
      <c r="L144" s="1204"/>
      <c r="M144" s="263"/>
      <c r="N144" s="178" t="s">
        <v>113</v>
      </c>
      <c r="O144" s="1205">
        <f>AVERAGE(O10:O142)</f>
        <v>0.23358999999999996</v>
      </c>
      <c r="P144" s="1206">
        <f>+P11+P14+P21+P24+P27+P31+P35+P40+P43+P50+P55+P63+P70+P74+P77+P80+P83+P93+P96+P100+P105+P109+P115+P120+P126+P130+P133+P136+P140</f>
        <v>25423593178</v>
      </c>
      <c r="Q144" s="1206">
        <f>+Q11+Q14+Q21+Q24+Q27+Q31+Q35+Q40+Q43+Q50+Q55+Q63+Q70+Q74+Q77+Q80+Q83+Q93+Q96+Q100+Q105+Q109+Q115+Q120+Q126+Q130+Q133+Q136+Q140+Q89</f>
        <v>33921552789</v>
      </c>
      <c r="R144" s="1206">
        <f>+R11+R14+R21+R24+R27+R31+R35+R40+R43+R50+R55+R63+R70+R74+R77+R80+R83+R93+R96+R100+R105+R109+R115+R120+R126+R130+R133+R136+R140</f>
        <v>16544882936</v>
      </c>
      <c r="S144" s="1206">
        <f>+S11+S14+S21+S24+S27+S31+S35+S40+S43+S50+S55+S63+S70+S74+S77+S80+S83+S93+S96+S100+S105+S109+S115+S120+S126+S130+S133+S136+S140</f>
        <v>8288040496</v>
      </c>
      <c r="T144" s="1207">
        <f t="shared" ref="T144:U144" si="84">+IF(Q144=0,0,R144/Q144)</f>
        <v>0.48773955127918361</v>
      </c>
      <c r="U144" s="1207">
        <f t="shared" si="84"/>
        <v>0.5009428309683629</v>
      </c>
      <c r="V144" s="263"/>
      <c r="W144" s="263"/>
      <c r="X144" s="1208"/>
      <c r="Y144" s="1209"/>
    </row>
    <row r="145" spans="1:25">
      <c r="A145" s="1210"/>
      <c r="B145" s="866"/>
      <c r="C145" s="264"/>
      <c r="D145" s="866"/>
      <c r="E145" s="866"/>
      <c r="F145" s="263"/>
      <c r="G145" s="263"/>
      <c r="H145" s="264"/>
      <c r="I145" s="866"/>
      <c r="J145" s="179"/>
      <c r="K145" s="1204"/>
      <c r="L145" s="1204"/>
      <c r="M145" s="263"/>
      <c r="N145" s="178" t="s">
        <v>133</v>
      </c>
      <c r="O145" s="59">
        <f>COUNTIF(O10:O142,"=0%")</f>
        <v>1</v>
      </c>
      <c r="P145" s="1211">
        <f>+P144-P146</f>
        <v>25423593178</v>
      </c>
      <c r="Q145" s="1211">
        <f t="shared" ref="Q145:S145" si="85">+Q144-Q146</f>
        <v>33921552789</v>
      </c>
      <c r="R145" s="1211">
        <f t="shared" si="85"/>
        <v>16544882936</v>
      </c>
      <c r="S145" s="1211">
        <f t="shared" si="85"/>
        <v>8288040496</v>
      </c>
      <c r="T145" s="1196"/>
      <c r="U145" s="263"/>
      <c r="V145" s="263"/>
      <c r="W145" s="263"/>
      <c r="X145" s="1208"/>
      <c r="Y145" s="1209"/>
    </row>
  </sheetData>
  <autoFilter ref="A5:Y6" xr:uid="{00000000-0009-0000-0000-000007000000}"/>
  <mergeCells count="223">
    <mergeCell ref="Y63:Y65"/>
    <mergeCell ref="A70:A73"/>
    <mergeCell ref="A77:A78"/>
    <mergeCell ref="B77:B78"/>
    <mergeCell ref="B70:B73"/>
    <mergeCell ref="C70:C73"/>
    <mergeCell ref="D70:D73"/>
    <mergeCell ref="O70:O73"/>
    <mergeCell ref="C77:C78"/>
    <mergeCell ref="D77:D78"/>
    <mergeCell ref="O77:O78"/>
    <mergeCell ref="Y77:Y78"/>
    <mergeCell ref="Y70:Y73"/>
    <mergeCell ref="A74:A75"/>
    <mergeCell ref="B74:B75"/>
    <mergeCell ref="C74:C75"/>
    <mergeCell ref="D74:D75"/>
    <mergeCell ref="O74:O75"/>
    <mergeCell ref="A63:A65"/>
    <mergeCell ref="B63:B65"/>
    <mergeCell ref="C63:C65"/>
    <mergeCell ref="D63:D65"/>
    <mergeCell ref="O63:O65"/>
    <mergeCell ref="A14:A16"/>
    <mergeCell ref="B14:B16"/>
    <mergeCell ref="C14:C16"/>
    <mergeCell ref="D14:D16"/>
    <mergeCell ref="O14:O16"/>
    <mergeCell ref="D31:D32"/>
    <mergeCell ref="O31:O32"/>
    <mergeCell ref="F44:F45"/>
    <mergeCell ref="A50:A51"/>
    <mergeCell ref="B50:B51"/>
    <mergeCell ref="C50:C51"/>
    <mergeCell ref="D50:D51"/>
    <mergeCell ref="O50:O51"/>
    <mergeCell ref="Y14:Y16"/>
    <mergeCell ref="F15:F16"/>
    <mergeCell ref="A40:A41"/>
    <mergeCell ref="B40:B41"/>
    <mergeCell ref="C40:C41"/>
    <mergeCell ref="D40:D41"/>
    <mergeCell ref="O40:O41"/>
    <mergeCell ref="Y40:Y41"/>
    <mergeCell ref="A21:A22"/>
    <mergeCell ref="B21:B22"/>
    <mergeCell ref="C21:C22"/>
    <mergeCell ref="D21:D22"/>
    <mergeCell ref="O21:O22"/>
    <mergeCell ref="Y21:Y22"/>
    <mergeCell ref="A23:A25"/>
    <mergeCell ref="B24:B25"/>
    <mergeCell ref="C24:C25"/>
    <mergeCell ref="D24:D25"/>
    <mergeCell ref="O24:O25"/>
    <mergeCell ref="Y24:Y25"/>
    <mergeCell ref="A27:A28"/>
    <mergeCell ref="A31:A32"/>
    <mergeCell ref="B31:B32"/>
    <mergeCell ref="C31:C32"/>
    <mergeCell ref="B11:B12"/>
    <mergeCell ref="C11:C12"/>
    <mergeCell ref="D11:D12"/>
    <mergeCell ref="O11:O12"/>
    <mergeCell ref="Y11:Y12"/>
    <mergeCell ref="A11:A12"/>
    <mergeCell ref="S3:U3"/>
    <mergeCell ref="V3:W3"/>
    <mergeCell ref="W5:W6"/>
    <mergeCell ref="D5:D6"/>
    <mergeCell ref="S5:S6"/>
    <mergeCell ref="T5:T6"/>
    <mergeCell ref="V5:V6"/>
    <mergeCell ref="J5:J6"/>
    <mergeCell ref="A1:X1"/>
    <mergeCell ref="B5:B6"/>
    <mergeCell ref="C5:C6"/>
    <mergeCell ref="U5:U6"/>
    <mergeCell ref="A3:B3"/>
    <mergeCell ref="P5:P6"/>
    <mergeCell ref="Q5:Q6"/>
    <mergeCell ref="H5:H6"/>
    <mergeCell ref="F5:F6"/>
    <mergeCell ref="C3:R3"/>
    <mergeCell ref="M5:M6"/>
    <mergeCell ref="I5:I6"/>
    <mergeCell ref="R5:R6"/>
    <mergeCell ref="L5:L6"/>
    <mergeCell ref="O5:O6"/>
    <mergeCell ref="N5:N6"/>
    <mergeCell ref="A4:Y4"/>
    <mergeCell ref="K5:K6"/>
    <mergeCell ref="A2:Y2"/>
    <mergeCell ref="Y5:Y6"/>
    <mergeCell ref="G5:G6"/>
    <mergeCell ref="E5:E6"/>
    <mergeCell ref="A5:A6"/>
    <mergeCell ref="X5:X6"/>
    <mergeCell ref="Y31:Y32"/>
    <mergeCell ref="A35:A37"/>
    <mergeCell ref="B35:B37"/>
    <mergeCell ref="C35:C37"/>
    <mergeCell ref="D35:D37"/>
    <mergeCell ref="O35:O37"/>
    <mergeCell ref="Y35:Y37"/>
    <mergeCell ref="B27:B28"/>
    <mergeCell ref="C27:C28"/>
    <mergeCell ref="D27:D28"/>
    <mergeCell ref="O27:O28"/>
    <mergeCell ref="Y27:Y28"/>
    <mergeCell ref="Y50:Y51"/>
    <mergeCell ref="A55:A58"/>
    <mergeCell ref="B55:B58"/>
    <mergeCell ref="C55:C58"/>
    <mergeCell ref="D55:D58"/>
    <mergeCell ref="O55:O58"/>
    <mergeCell ref="Y55:Y58"/>
    <mergeCell ref="F57:F58"/>
    <mergeCell ref="A43:A45"/>
    <mergeCell ref="B43:B45"/>
    <mergeCell ref="C43:C45"/>
    <mergeCell ref="D43:D45"/>
    <mergeCell ref="O43:O45"/>
    <mergeCell ref="Y43:Y45"/>
    <mergeCell ref="A83:A86"/>
    <mergeCell ref="B83:B86"/>
    <mergeCell ref="C83:C86"/>
    <mergeCell ref="D83:D86"/>
    <mergeCell ref="O83:O86"/>
    <mergeCell ref="Y83:Y86"/>
    <mergeCell ref="A80:A81"/>
    <mergeCell ref="B80:B81"/>
    <mergeCell ref="C80:C81"/>
    <mergeCell ref="D80:D81"/>
    <mergeCell ref="O80:O81"/>
    <mergeCell ref="Y80:Y81"/>
    <mergeCell ref="A96:A98"/>
    <mergeCell ref="B96:B98"/>
    <mergeCell ref="C96:C98"/>
    <mergeCell ref="D96:D98"/>
    <mergeCell ref="O96:O98"/>
    <mergeCell ref="Y96:Y98"/>
    <mergeCell ref="A100:A103"/>
    <mergeCell ref="B100:B103"/>
    <mergeCell ref="C100:C103"/>
    <mergeCell ref="D100:D103"/>
    <mergeCell ref="F100:F103"/>
    <mergeCell ref="O100:O103"/>
    <mergeCell ref="Y100:Y103"/>
    <mergeCell ref="A89:A90"/>
    <mergeCell ref="B89:B90"/>
    <mergeCell ref="C89:C90"/>
    <mergeCell ref="D89:D90"/>
    <mergeCell ref="O89:O90"/>
    <mergeCell ref="Y89:Y90"/>
    <mergeCell ref="A93:A95"/>
    <mergeCell ref="B93:B95"/>
    <mergeCell ref="C93:C95"/>
    <mergeCell ref="D93:D95"/>
    <mergeCell ref="O93:O95"/>
    <mergeCell ref="Y93:Y95"/>
    <mergeCell ref="F94:F95"/>
    <mergeCell ref="O105:O107"/>
    <mergeCell ref="Y105:Y107"/>
    <mergeCell ref="F106:F107"/>
    <mergeCell ref="A115:A118"/>
    <mergeCell ref="B115:B118"/>
    <mergeCell ref="C115:C118"/>
    <mergeCell ref="D115:D118"/>
    <mergeCell ref="O115:O118"/>
    <mergeCell ref="Y115:Y118"/>
    <mergeCell ref="F116:F118"/>
    <mergeCell ref="A109:A113"/>
    <mergeCell ref="B109:B113"/>
    <mergeCell ref="C109:C113"/>
    <mergeCell ref="D109:D113"/>
    <mergeCell ref="O109:O113"/>
    <mergeCell ref="Y109:Y113"/>
    <mergeCell ref="F110:F113"/>
    <mergeCell ref="A105:A107"/>
    <mergeCell ref="B105:B107"/>
    <mergeCell ref="C105:C107"/>
    <mergeCell ref="D105:D107"/>
    <mergeCell ref="O136:O137"/>
    <mergeCell ref="A120:A124"/>
    <mergeCell ref="B120:B124"/>
    <mergeCell ref="C120:C124"/>
    <mergeCell ref="D120:D124"/>
    <mergeCell ref="O120:O124"/>
    <mergeCell ref="Y120:Y124"/>
    <mergeCell ref="F121:F124"/>
    <mergeCell ref="G121:G124"/>
    <mergeCell ref="A126:A128"/>
    <mergeCell ref="B126:B128"/>
    <mergeCell ref="C126:C128"/>
    <mergeCell ref="D126:D128"/>
    <mergeCell ref="O126:O128"/>
    <mergeCell ref="Y126:Y128"/>
    <mergeCell ref="F127:F128"/>
    <mergeCell ref="Y136:Y137"/>
    <mergeCell ref="A130:A131"/>
    <mergeCell ref="B130:B131"/>
    <mergeCell ref="C130:C131"/>
    <mergeCell ref="D130:D131"/>
    <mergeCell ref="O130:O131"/>
    <mergeCell ref="Y130:Y131"/>
    <mergeCell ref="A140:A142"/>
    <mergeCell ref="B140:B142"/>
    <mergeCell ref="C140:C142"/>
    <mergeCell ref="D140:D142"/>
    <mergeCell ref="O140:O142"/>
    <mergeCell ref="Y140:Y142"/>
    <mergeCell ref="F141:F142"/>
    <mergeCell ref="A133:A134"/>
    <mergeCell ref="B133:B134"/>
    <mergeCell ref="C133:C134"/>
    <mergeCell ref="D133:D134"/>
    <mergeCell ref="O133:O134"/>
    <mergeCell ref="Y133:Y134"/>
    <mergeCell ref="A136:A137"/>
    <mergeCell ref="B136:B137"/>
    <mergeCell ref="C136:C137"/>
    <mergeCell ref="D136:D137"/>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208"/>
  <sheetViews>
    <sheetView showWhiteSpace="0" topLeftCell="D200" zoomScale="80" zoomScaleNormal="80" zoomScaleSheetLayoutView="100" workbookViewId="0">
      <selection activeCell="O208" sqref="O208"/>
    </sheetView>
  </sheetViews>
  <sheetFormatPr baseColWidth="10" defaultColWidth="11.42578125" defaultRowHeight="16.5"/>
  <cols>
    <col min="1" max="1" width="13" style="2" customWidth="1"/>
    <col min="2" max="2" width="10.85546875" style="3" customWidth="1"/>
    <col min="3" max="3" width="8.5703125" style="2" customWidth="1"/>
    <col min="4" max="4" width="55" style="3" customWidth="1"/>
    <col min="5" max="5" width="17.42578125" style="3" bestFit="1" customWidth="1"/>
    <col min="6" max="7" width="12.42578125" style="3" customWidth="1"/>
    <col min="8" max="8" width="7.7109375" style="3" customWidth="1"/>
    <col min="9" max="9" width="17.5703125" style="3" customWidth="1"/>
    <col min="10" max="10" width="17.5703125" style="2" customWidth="1"/>
    <col min="11" max="13" width="7.7109375" style="16" customWidth="1"/>
    <col min="14" max="14" width="7.7109375" style="3" customWidth="1"/>
    <col min="15" max="15" width="6.28515625" style="2" customWidth="1"/>
    <col min="16" max="16" width="14.28515625" style="3" bestFit="1" customWidth="1"/>
    <col min="17" max="17" width="20.85546875" style="3" bestFit="1" customWidth="1"/>
    <col min="18" max="18" width="21.28515625" style="3" bestFit="1" customWidth="1"/>
    <col min="19" max="19" width="18" style="3" bestFit="1" customWidth="1"/>
    <col min="20" max="21" width="7.85546875" style="3" customWidth="1"/>
    <col min="22" max="22" width="10.85546875" style="3" bestFit="1" customWidth="1"/>
    <col min="23" max="23" width="11.140625" style="3" bestFit="1" customWidth="1"/>
    <col min="24" max="24" width="34" style="3" customWidth="1"/>
    <col min="25" max="25" width="17.140625" style="17" customWidth="1"/>
    <col min="26"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ht="25.5" customHeight="1">
      <c r="A2" s="2951"/>
      <c r="B2" s="2952"/>
      <c r="C2" s="2952"/>
      <c r="D2" s="2952"/>
      <c r="E2" s="2952"/>
      <c r="F2" s="2952"/>
      <c r="G2" s="2952"/>
      <c r="H2" s="2952"/>
      <c r="I2" s="2952"/>
      <c r="J2" s="2952"/>
      <c r="K2" s="2952"/>
      <c r="L2" s="2952"/>
      <c r="M2" s="2952"/>
      <c r="N2" s="2952"/>
      <c r="O2" s="2952"/>
      <c r="P2" s="2952"/>
      <c r="Q2" s="2952"/>
      <c r="R2" s="2952"/>
      <c r="S2" s="2952"/>
      <c r="T2" s="2952"/>
      <c r="U2" s="2952"/>
      <c r="V2" s="2952"/>
      <c r="W2" s="2952"/>
      <c r="X2" s="2952"/>
      <c r="Y2" s="2953"/>
    </row>
    <row r="3" spans="1:25" s="27" customFormat="1" ht="24.95" customHeight="1">
      <c r="A3" s="2954" t="s">
        <v>73</v>
      </c>
      <c r="B3" s="2954"/>
      <c r="C3" s="2954" t="s">
        <v>47</v>
      </c>
      <c r="D3" s="2954"/>
      <c r="E3" s="2954"/>
      <c r="F3" s="2954"/>
      <c r="G3" s="2954"/>
      <c r="H3" s="2954"/>
      <c r="I3" s="2954"/>
      <c r="J3" s="2954"/>
      <c r="K3" s="2954"/>
      <c r="L3" s="2954"/>
      <c r="M3" s="2954"/>
      <c r="N3" s="2954"/>
      <c r="O3" s="2954"/>
      <c r="P3" s="2954"/>
      <c r="Q3" s="2954"/>
      <c r="R3" s="2954"/>
      <c r="S3" s="2834" t="s">
        <v>17</v>
      </c>
      <c r="T3" s="2834"/>
      <c r="U3" s="2834"/>
      <c r="V3" s="2835">
        <v>45473</v>
      </c>
      <c r="W3" s="2834"/>
      <c r="X3" s="40" t="s">
        <v>5</v>
      </c>
      <c r="Y3" s="42">
        <v>2024</v>
      </c>
    </row>
    <row r="4" spans="1:25" ht="25.5" customHeight="1">
      <c r="A4" s="2950"/>
      <c r="B4" s="2950"/>
      <c r="C4" s="2950"/>
      <c r="D4" s="2950"/>
      <c r="E4" s="2950"/>
      <c r="F4" s="2950"/>
      <c r="G4" s="2950"/>
      <c r="H4" s="2950"/>
      <c r="I4" s="2950"/>
      <c r="J4" s="2950"/>
      <c r="K4" s="2950"/>
      <c r="L4" s="2950"/>
      <c r="M4" s="2950"/>
      <c r="N4" s="2950"/>
      <c r="O4" s="2950"/>
      <c r="P4" s="2950"/>
      <c r="Q4" s="2950"/>
      <c r="R4" s="2950"/>
      <c r="S4" s="2950"/>
      <c r="T4" s="2950"/>
      <c r="U4" s="2950"/>
      <c r="V4" s="2950"/>
      <c r="W4" s="2950"/>
      <c r="X4" s="2950"/>
      <c r="Y4" s="2950"/>
    </row>
    <row r="5" spans="1:25" ht="53.25" customHeight="1">
      <c r="A5" s="2905" t="s">
        <v>74</v>
      </c>
      <c r="B5" s="2905" t="s">
        <v>4</v>
      </c>
      <c r="C5" s="2905" t="s">
        <v>3</v>
      </c>
      <c r="D5" s="2905" t="s">
        <v>94</v>
      </c>
      <c r="E5" s="2905" t="s">
        <v>2</v>
      </c>
      <c r="F5" s="2905" t="s">
        <v>75</v>
      </c>
      <c r="G5" s="2905" t="s">
        <v>92</v>
      </c>
      <c r="H5" s="2905" t="s">
        <v>93</v>
      </c>
      <c r="I5" s="2905" t="s">
        <v>8</v>
      </c>
      <c r="J5" s="2905" t="s">
        <v>9</v>
      </c>
      <c r="K5" s="2905" t="s">
        <v>10</v>
      </c>
      <c r="L5" s="2940" t="s">
        <v>11</v>
      </c>
      <c r="M5" s="2904" t="s">
        <v>86</v>
      </c>
      <c r="N5" s="2938" t="s">
        <v>12</v>
      </c>
      <c r="O5" s="2942" t="s">
        <v>72</v>
      </c>
      <c r="P5" s="2944" t="s">
        <v>1</v>
      </c>
      <c r="Q5" s="2938" t="s">
        <v>13</v>
      </c>
      <c r="R5" s="2938" t="s">
        <v>14</v>
      </c>
      <c r="S5" s="2938" t="s">
        <v>16</v>
      </c>
      <c r="T5" s="2942" t="s">
        <v>15</v>
      </c>
      <c r="U5" s="2942" t="s">
        <v>89</v>
      </c>
      <c r="V5" s="2944" t="s">
        <v>6</v>
      </c>
      <c r="W5" s="2944" t="s">
        <v>7</v>
      </c>
      <c r="X5" s="2938" t="s">
        <v>0</v>
      </c>
      <c r="Y5" s="2955" t="s">
        <v>76</v>
      </c>
    </row>
    <row r="6" spans="1:25" ht="42.75" customHeight="1">
      <c r="A6" s="2905"/>
      <c r="B6" s="2905"/>
      <c r="C6" s="2905"/>
      <c r="D6" s="2905"/>
      <c r="E6" s="2905"/>
      <c r="F6" s="2905"/>
      <c r="G6" s="2905"/>
      <c r="H6" s="2905"/>
      <c r="I6" s="2905"/>
      <c r="J6" s="2905"/>
      <c r="K6" s="2905"/>
      <c r="L6" s="2941"/>
      <c r="M6" s="2904"/>
      <c r="N6" s="2939"/>
      <c r="O6" s="2943"/>
      <c r="P6" s="2945"/>
      <c r="Q6" s="2939"/>
      <c r="R6" s="2939"/>
      <c r="S6" s="2939"/>
      <c r="T6" s="2943"/>
      <c r="U6" s="2943"/>
      <c r="V6" s="2945"/>
      <c r="W6" s="2945"/>
      <c r="X6" s="2939"/>
      <c r="Y6" s="2956"/>
    </row>
    <row r="7" spans="1:25">
      <c r="A7" s="1237"/>
      <c r="B7" s="1238">
        <v>51</v>
      </c>
      <c r="C7" s="1238" t="s">
        <v>100</v>
      </c>
      <c r="D7" s="1239" t="s">
        <v>134</v>
      </c>
      <c r="E7" s="1240"/>
      <c r="F7" s="1241"/>
      <c r="G7" s="1241"/>
      <c r="H7" s="1241"/>
      <c r="I7" s="1241"/>
      <c r="J7" s="1241"/>
      <c r="K7" s="1241"/>
      <c r="L7" s="1241"/>
      <c r="M7" s="1242"/>
      <c r="N7" s="1243"/>
      <c r="O7" s="1243"/>
      <c r="P7" s="1242"/>
      <c r="Q7" s="1242"/>
      <c r="R7" s="1242"/>
      <c r="S7" s="1242"/>
      <c r="T7" s="1244"/>
      <c r="U7" s="1244"/>
      <c r="V7" s="1245"/>
      <c r="W7" s="1241"/>
      <c r="X7" s="1241"/>
      <c r="Y7" s="1237"/>
    </row>
    <row r="8" spans="1:25">
      <c r="A8" s="508"/>
      <c r="B8" s="1246">
        <v>5101</v>
      </c>
      <c r="C8" s="1246" t="s">
        <v>101</v>
      </c>
      <c r="D8" s="1247" t="s">
        <v>135</v>
      </c>
      <c r="E8" s="513"/>
      <c r="F8" s="507"/>
      <c r="G8" s="507"/>
      <c r="H8" s="507"/>
      <c r="I8" s="507"/>
      <c r="J8" s="507"/>
      <c r="K8" s="507"/>
      <c r="L8" s="507"/>
      <c r="M8" s="505"/>
      <c r="N8" s="1248"/>
      <c r="O8" s="1248"/>
      <c r="P8" s="505"/>
      <c r="Q8" s="505"/>
      <c r="R8" s="505"/>
      <c r="S8" s="505"/>
      <c r="T8" s="1220"/>
      <c r="U8" s="1220"/>
      <c r="V8" s="506"/>
      <c r="W8" s="507"/>
      <c r="X8" s="507"/>
      <c r="Y8" s="508"/>
    </row>
    <row r="9" spans="1:25">
      <c r="A9" s="508"/>
      <c r="B9" s="1246">
        <v>5101001</v>
      </c>
      <c r="C9" s="1246" t="s">
        <v>102</v>
      </c>
      <c r="D9" s="1247" t="s">
        <v>136</v>
      </c>
      <c r="E9" s="513"/>
      <c r="F9" s="507"/>
      <c r="G9" s="507"/>
      <c r="H9" s="507"/>
      <c r="I9" s="507"/>
      <c r="J9" s="507"/>
      <c r="K9" s="507"/>
      <c r="L9" s="507"/>
      <c r="M9" s="505"/>
      <c r="N9" s="1248"/>
      <c r="O9" s="1248"/>
      <c r="P9" s="505"/>
      <c r="Q9" s="505"/>
      <c r="R9" s="505"/>
      <c r="S9" s="505"/>
      <c r="T9" s="1220"/>
      <c r="U9" s="1220"/>
      <c r="V9" s="506"/>
      <c r="W9" s="507"/>
      <c r="X9" s="507"/>
      <c r="Y9" s="508"/>
    </row>
    <row r="10" spans="1:25" ht="27">
      <c r="A10" s="507"/>
      <c r="B10" s="504">
        <v>51010010041</v>
      </c>
      <c r="C10" s="504" t="s">
        <v>103</v>
      </c>
      <c r="D10" s="507" t="s">
        <v>627</v>
      </c>
      <c r="E10" s="513"/>
      <c r="F10" s="507"/>
      <c r="G10" s="507"/>
      <c r="H10" s="508"/>
      <c r="I10" s="507"/>
      <c r="J10" s="507"/>
      <c r="K10" s="507"/>
      <c r="L10" s="507"/>
      <c r="M10" s="505"/>
      <c r="N10" s="1248"/>
      <c r="O10" s="1248"/>
      <c r="P10" s="505"/>
      <c r="Q10" s="505"/>
      <c r="R10" s="505"/>
      <c r="S10" s="505"/>
      <c r="T10" s="1220"/>
      <c r="U10" s="1220"/>
      <c r="V10" s="506"/>
      <c r="W10" s="507"/>
      <c r="X10" s="507"/>
      <c r="Y10" s="508"/>
    </row>
    <row r="11" spans="1:25" ht="16.5" customHeight="1">
      <c r="A11" s="2946">
        <v>4133</v>
      </c>
      <c r="B11" s="504"/>
      <c r="C11" s="2946" t="s">
        <v>109</v>
      </c>
      <c r="D11" s="2947" t="s">
        <v>628</v>
      </c>
      <c r="E11" s="335" t="s">
        <v>629</v>
      </c>
      <c r="F11" s="481"/>
      <c r="G11" s="482"/>
      <c r="H11" s="481"/>
      <c r="I11" s="335"/>
      <c r="J11" s="335"/>
      <c r="K11" s="483">
        <f>+K13</f>
        <v>1</v>
      </c>
      <c r="L11" s="484">
        <f>SUM(L12:L13)</f>
        <v>1</v>
      </c>
      <c r="M11" s="505">
        <f>SUM(M12:M13)</f>
        <v>2</v>
      </c>
      <c r="N11" s="1217">
        <f>SUM(N12:N13)</f>
        <v>0.25</v>
      </c>
      <c r="O11" s="2934">
        <f>IF(Q11&gt;0,N11,"na")</f>
        <v>0.25</v>
      </c>
      <c r="P11" s="485">
        <f>SUM(P12:P13)</f>
        <v>1763205045</v>
      </c>
      <c r="Q11" s="485">
        <f t="shared" ref="Q11:S11" si="0">SUM(Q12:Q13)</f>
        <v>3695567835</v>
      </c>
      <c r="R11" s="485">
        <f t="shared" si="0"/>
        <v>731532500</v>
      </c>
      <c r="S11" s="485">
        <f t="shared" si="0"/>
        <v>533947500</v>
      </c>
      <c r="T11" s="1219">
        <f t="shared" ref="T11:U24" si="1">+IF(Q11=0,0,R11/Q11)</f>
        <v>0.19794860564371158</v>
      </c>
      <c r="U11" s="1219">
        <f t="shared" si="1"/>
        <v>0.72990263590476157</v>
      </c>
      <c r="V11" s="506"/>
      <c r="W11" s="507"/>
      <c r="X11" s="507"/>
      <c r="Y11" s="2929" t="s">
        <v>634</v>
      </c>
    </row>
    <row r="12" spans="1:25" ht="175.5">
      <c r="A12" s="2946"/>
      <c r="B12" s="504"/>
      <c r="C12" s="2946"/>
      <c r="D12" s="2947"/>
      <c r="E12" s="486" t="s">
        <v>630</v>
      </c>
      <c r="F12" s="481"/>
      <c r="G12" s="2948" t="s">
        <v>631</v>
      </c>
      <c r="H12" s="2949"/>
      <c r="I12" s="486" t="s">
        <v>632</v>
      </c>
      <c r="J12" s="486" t="s">
        <v>633</v>
      </c>
      <c r="K12" s="483">
        <v>1</v>
      </c>
      <c r="L12" s="484">
        <v>0.35</v>
      </c>
      <c r="M12" s="505">
        <v>1</v>
      </c>
      <c r="N12" s="1217">
        <f>((M12/K12)*L12)/4</f>
        <v>8.7499999999999994E-2</v>
      </c>
      <c r="O12" s="2934"/>
      <c r="P12" s="485">
        <v>616000000</v>
      </c>
      <c r="Q12" s="485">
        <v>1901017248</v>
      </c>
      <c r="R12" s="505">
        <v>248139500</v>
      </c>
      <c r="S12" s="505">
        <v>167724500</v>
      </c>
      <c r="T12" s="1219">
        <f t="shared" si="1"/>
        <v>0.13052985198375222</v>
      </c>
      <c r="U12" s="1219">
        <f t="shared" si="1"/>
        <v>0.67592825809675605</v>
      </c>
      <c r="V12" s="506">
        <v>45315</v>
      </c>
      <c r="W12" s="506">
        <v>45657</v>
      </c>
      <c r="X12" s="1258" t="s">
        <v>4810</v>
      </c>
      <c r="Y12" s="2930"/>
    </row>
    <row r="13" spans="1:25" ht="135">
      <c r="A13" s="2946"/>
      <c r="B13" s="504"/>
      <c r="C13" s="2946"/>
      <c r="D13" s="2947"/>
      <c r="E13" s="486" t="s">
        <v>635</v>
      </c>
      <c r="F13" s="360"/>
      <c r="G13" s="2948"/>
      <c r="H13" s="2949"/>
      <c r="I13" s="486" t="s">
        <v>636</v>
      </c>
      <c r="J13" s="486" t="s">
        <v>637</v>
      </c>
      <c r="K13" s="483">
        <v>1</v>
      </c>
      <c r="L13" s="487">
        <v>0.65</v>
      </c>
      <c r="M13" s="505">
        <v>1</v>
      </c>
      <c r="N13" s="1217">
        <f>((M13/K13)*L13)/4</f>
        <v>0.16250000000000001</v>
      </c>
      <c r="O13" s="2934"/>
      <c r="P13" s="485">
        <v>1147205045</v>
      </c>
      <c r="Q13" s="485">
        <v>1794550587</v>
      </c>
      <c r="R13" s="505">
        <v>483393000</v>
      </c>
      <c r="S13" s="505">
        <v>366223000</v>
      </c>
      <c r="T13" s="1219">
        <f t="shared" si="1"/>
        <v>0.26936716273242622</v>
      </c>
      <c r="U13" s="1219">
        <f t="shared" si="1"/>
        <v>0.75760923306709038</v>
      </c>
      <c r="V13" s="506">
        <v>45315</v>
      </c>
      <c r="W13" s="506">
        <v>45657</v>
      </c>
      <c r="X13" s="1258" t="s">
        <v>4811</v>
      </c>
      <c r="Y13" s="2931"/>
    </row>
    <row r="14" spans="1:25" ht="16.5" customHeight="1">
      <c r="A14" s="939"/>
      <c r="B14" s="504"/>
      <c r="C14" s="939"/>
      <c r="D14" s="940"/>
      <c r="E14" s="486"/>
      <c r="F14" s="360"/>
      <c r="G14" s="482"/>
      <c r="H14" s="481"/>
      <c r="I14" s="486"/>
      <c r="J14" s="486"/>
      <c r="K14" s="483"/>
      <c r="L14" s="487"/>
      <c r="M14" s="505"/>
      <c r="N14" s="1217"/>
      <c r="O14" s="1218"/>
      <c r="P14" s="485"/>
      <c r="Q14" s="485"/>
      <c r="R14" s="505"/>
      <c r="S14" s="505"/>
      <c r="T14" s="1219"/>
      <c r="U14" s="1219"/>
      <c r="V14" s="506"/>
      <c r="W14" s="506"/>
      <c r="X14" s="1258"/>
      <c r="Y14" s="941"/>
    </row>
    <row r="15" spans="1:25" ht="54" customHeight="1">
      <c r="A15" s="2959">
        <v>4133</v>
      </c>
      <c r="B15" s="488"/>
      <c r="C15" s="2946" t="s">
        <v>109</v>
      </c>
      <c r="D15" s="2947" t="s">
        <v>638</v>
      </c>
      <c r="E15" s="335" t="s">
        <v>639</v>
      </c>
      <c r="F15" s="360"/>
      <c r="G15" s="365"/>
      <c r="H15" s="360"/>
      <c r="I15" s="365"/>
      <c r="J15" s="365"/>
      <c r="K15" s="489">
        <f>+K18</f>
        <v>580</v>
      </c>
      <c r="L15" s="487">
        <f>SUM(L16:L19)</f>
        <v>1</v>
      </c>
      <c r="M15" s="505"/>
      <c r="N15" s="1217">
        <f>SUM(N16:N19)</f>
        <v>0.31480266589394379</v>
      </c>
      <c r="O15" s="2934">
        <f>IF(Q15&gt;0,N15,"na")</f>
        <v>0.31480266589394379</v>
      </c>
      <c r="P15" s="505">
        <f>SUM(P16:P19)</f>
        <v>2847465744</v>
      </c>
      <c r="Q15" s="505">
        <f t="shared" ref="Q15:S15" si="2">SUM(Q16:Q19)</f>
        <v>2265596014</v>
      </c>
      <c r="R15" s="505">
        <f t="shared" si="2"/>
        <v>1395545500</v>
      </c>
      <c r="S15" s="505">
        <f t="shared" si="2"/>
        <v>851511500</v>
      </c>
      <c r="T15" s="1219">
        <f t="shared" si="1"/>
        <v>0.61597279099026525</v>
      </c>
      <c r="U15" s="1219">
        <f t="shared" si="1"/>
        <v>0.61016391081480326</v>
      </c>
      <c r="V15" s="506"/>
      <c r="W15" s="507"/>
      <c r="X15" s="1258"/>
      <c r="Y15" s="2929" t="s">
        <v>634</v>
      </c>
    </row>
    <row r="16" spans="1:25" ht="40.5" customHeight="1">
      <c r="A16" s="2959"/>
      <c r="B16" s="488"/>
      <c r="C16" s="2946"/>
      <c r="D16" s="2947"/>
      <c r="E16" s="486" t="s">
        <v>640</v>
      </c>
      <c r="F16" s="360"/>
      <c r="G16" s="2957" t="s">
        <v>641</v>
      </c>
      <c r="H16" s="2958"/>
      <c r="I16" s="486" t="s">
        <v>642</v>
      </c>
      <c r="J16" s="486" t="s">
        <v>643</v>
      </c>
      <c r="K16" s="352">
        <v>136</v>
      </c>
      <c r="L16" s="487">
        <v>0.26</v>
      </c>
      <c r="M16" s="505">
        <v>56</v>
      </c>
      <c r="N16" s="1217">
        <f t="shared" ref="N16:N19" si="3">(M16/K16)*L16</f>
        <v>0.10705882352941176</v>
      </c>
      <c r="O16" s="2934"/>
      <c r="P16" s="485">
        <v>516331659</v>
      </c>
      <c r="Q16" s="485">
        <v>347695812</v>
      </c>
      <c r="R16" s="505">
        <v>223520500</v>
      </c>
      <c r="S16" s="505">
        <v>143611500</v>
      </c>
      <c r="T16" s="1219">
        <f t="shared" si="1"/>
        <v>0.6428622154356004</v>
      </c>
      <c r="U16" s="1219">
        <f t="shared" si="1"/>
        <v>0.6424981153853897</v>
      </c>
      <c r="V16" s="506">
        <v>45361</v>
      </c>
      <c r="W16" s="506">
        <v>45657</v>
      </c>
      <c r="X16" s="1258" t="s">
        <v>644</v>
      </c>
      <c r="Y16" s="2930"/>
    </row>
    <row r="17" spans="1:25" ht="40.5">
      <c r="A17" s="2959"/>
      <c r="B17" s="488"/>
      <c r="C17" s="2946"/>
      <c r="D17" s="2947"/>
      <c r="E17" s="486" t="s">
        <v>645</v>
      </c>
      <c r="F17" s="360"/>
      <c r="G17" s="2957"/>
      <c r="H17" s="2958"/>
      <c r="I17" s="486" t="s">
        <v>646</v>
      </c>
      <c r="J17" s="486" t="s">
        <v>647</v>
      </c>
      <c r="K17" s="352">
        <v>10</v>
      </c>
      <c r="L17" s="487">
        <v>0.12</v>
      </c>
      <c r="M17" s="505">
        <v>6</v>
      </c>
      <c r="N17" s="1217">
        <f t="shared" si="3"/>
        <v>7.1999999999999995E-2</v>
      </c>
      <c r="O17" s="2934"/>
      <c r="P17" s="485">
        <v>415498678</v>
      </c>
      <c r="Q17" s="485">
        <v>415498678</v>
      </c>
      <c r="R17" s="505">
        <v>244118500</v>
      </c>
      <c r="S17" s="505">
        <v>137616500</v>
      </c>
      <c r="T17" s="1219">
        <f t="shared" si="1"/>
        <v>0.58753135190480676</v>
      </c>
      <c r="U17" s="1219">
        <f t="shared" si="1"/>
        <v>0.56372827131085923</v>
      </c>
      <c r="V17" s="506">
        <v>45351</v>
      </c>
      <c r="W17" s="506">
        <v>45657</v>
      </c>
      <c r="X17" s="1258" t="s">
        <v>648</v>
      </c>
      <c r="Y17" s="2930"/>
    </row>
    <row r="18" spans="1:25" ht="54">
      <c r="A18" s="2959"/>
      <c r="B18" s="488"/>
      <c r="C18" s="2946"/>
      <c r="D18" s="2947"/>
      <c r="E18" s="486" t="s">
        <v>649</v>
      </c>
      <c r="F18" s="360"/>
      <c r="G18" s="2957"/>
      <c r="H18" s="2958"/>
      <c r="I18" s="486" t="s">
        <v>650</v>
      </c>
      <c r="J18" s="486" t="s">
        <v>651</v>
      </c>
      <c r="K18" s="352">
        <v>580</v>
      </c>
      <c r="L18" s="487">
        <v>0.32</v>
      </c>
      <c r="M18" s="505">
        <v>100</v>
      </c>
      <c r="N18" s="1217">
        <f t="shared" si="3"/>
        <v>5.5172413793103454E-2</v>
      </c>
      <c r="O18" s="2934"/>
      <c r="P18" s="485">
        <v>961995902</v>
      </c>
      <c r="Q18" s="485">
        <v>774019980</v>
      </c>
      <c r="R18" s="505">
        <v>485553500</v>
      </c>
      <c r="S18" s="505">
        <v>270350500</v>
      </c>
      <c r="T18" s="1219">
        <f t="shared" si="1"/>
        <v>0.62731390990708014</v>
      </c>
      <c r="U18" s="1219">
        <f t="shared" si="1"/>
        <v>0.55678828388632762</v>
      </c>
      <c r="V18" s="506">
        <v>45361</v>
      </c>
      <c r="W18" s="506">
        <v>45657</v>
      </c>
      <c r="X18" s="1258" t="s">
        <v>4812</v>
      </c>
      <c r="Y18" s="2930"/>
    </row>
    <row r="19" spans="1:25" ht="16.5" customHeight="1">
      <c r="A19" s="2959"/>
      <c r="B19" s="488"/>
      <c r="C19" s="2946"/>
      <c r="D19" s="2947"/>
      <c r="E19" s="486" t="s">
        <v>652</v>
      </c>
      <c r="F19" s="360"/>
      <c r="G19" s="2957"/>
      <c r="H19" s="2958"/>
      <c r="I19" s="486" t="s">
        <v>4813</v>
      </c>
      <c r="J19" s="486" t="s">
        <v>110</v>
      </c>
      <c r="K19" s="352">
        <v>175</v>
      </c>
      <c r="L19" s="487">
        <v>0.3</v>
      </c>
      <c r="M19" s="505">
        <v>47</v>
      </c>
      <c r="N19" s="1217">
        <f t="shared" si="3"/>
        <v>8.0571428571428572E-2</v>
      </c>
      <c r="O19" s="2934"/>
      <c r="P19" s="485">
        <v>953639505</v>
      </c>
      <c r="Q19" s="485">
        <v>728381544</v>
      </c>
      <c r="R19" s="505">
        <v>442353000</v>
      </c>
      <c r="S19" s="505">
        <v>299933000</v>
      </c>
      <c r="T19" s="1219">
        <f t="shared" si="1"/>
        <v>0.60730945703368888</v>
      </c>
      <c r="U19" s="1219">
        <f t="shared" si="1"/>
        <v>0.67803993643085947</v>
      </c>
      <c r="V19" s="506">
        <v>45363</v>
      </c>
      <c r="W19" s="506">
        <v>45657</v>
      </c>
      <c r="X19" s="1258" t="s">
        <v>4814</v>
      </c>
      <c r="Y19" s="2931"/>
    </row>
    <row r="20" spans="1:25">
      <c r="A20" s="363"/>
      <c r="B20" s="488"/>
      <c r="C20" s="939"/>
      <c r="D20" s="940"/>
      <c r="E20" s="486"/>
      <c r="F20" s="360"/>
      <c r="G20" s="486"/>
      <c r="H20" s="360"/>
      <c r="I20" s="486"/>
      <c r="J20" s="486"/>
      <c r="K20" s="352"/>
      <c r="L20" s="487"/>
      <c r="M20" s="505"/>
      <c r="N20" s="1217"/>
      <c r="O20" s="1218"/>
      <c r="P20" s="485"/>
      <c r="Q20" s="485"/>
      <c r="R20" s="505"/>
      <c r="S20" s="505"/>
      <c r="T20" s="1219"/>
      <c r="U20" s="1219"/>
      <c r="V20" s="506"/>
      <c r="W20" s="506"/>
      <c r="X20" s="1258"/>
      <c r="Y20" s="941"/>
    </row>
    <row r="21" spans="1:25">
      <c r="A21" s="2959">
        <v>4133</v>
      </c>
      <c r="B21" s="488"/>
      <c r="C21" s="2946" t="s">
        <v>109</v>
      </c>
      <c r="D21" s="2947" t="s">
        <v>653</v>
      </c>
      <c r="E21" s="335" t="s">
        <v>654</v>
      </c>
      <c r="F21" s="360"/>
      <c r="G21" s="365"/>
      <c r="H21" s="360"/>
      <c r="I21" s="365"/>
      <c r="J21" s="365"/>
      <c r="K21" s="489">
        <f>+K24</f>
        <v>3</v>
      </c>
      <c r="L21" s="487">
        <f>SUM(L22:L24)</f>
        <v>1</v>
      </c>
      <c r="M21" s="505"/>
      <c r="N21" s="1220">
        <f>SUM(N22:N24)</f>
        <v>0.21551150895140664</v>
      </c>
      <c r="O21" s="2934">
        <f>IF(Q21&gt;0,N21,"na")</f>
        <v>0.21551150895140664</v>
      </c>
      <c r="P21" s="505">
        <f>SUM(P22:P24)</f>
        <v>500000000</v>
      </c>
      <c r="Q21" s="505">
        <f>SUM(Q22:Q24)</f>
        <v>936611769</v>
      </c>
      <c r="R21" s="505">
        <f>SUM(R22:R24)</f>
        <v>549510500</v>
      </c>
      <c r="S21" s="505">
        <f>SUM(S22:S24)</f>
        <v>362567500</v>
      </c>
      <c r="T21" s="1219">
        <f t="shared" si="1"/>
        <v>0.58670040051568051</v>
      </c>
      <c r="U21" s="1219">
        <f t="shared" si="1"/>
        <v>0.65980085912826048</v>
      </c>
      <c r="V21" s="506"/>
      <c r="W21" s="507"/>
      <c r="X21" s="1258"/>
      <c r="Y21" s="2929" t="s">
        <v>634</v>
      </c>
    </row>
    <row r="22" spans="1:25" ht="67.5">
      <c r="A22" s="2959"/>
      <c r="B22" s="488"/>
      <c r="C22" s="2946"/>
      <c r="D22" s="2947"/>
      <c r="E22" s="486" t="s">
        <v>655</v>
      </c>
      <c r="F22" s="360"/>
      <c r="G22" s="365"/>
      <c r="H22" s="360"/>
      <c r="I22" s="335" t="s">
        <v>4815</v>
      </c>
      <c r="J22" s="335" t="s">
        <v>498</v>
      </c>
      <c r="K22" s="352">
        <v>11</v>
      </c>
      <c r="L22" s="487">
        <v>0.33</v>
      </c>
      <c r="M22" s="505">
        <v>3</v>
      </c>
      <c r="N22" s="1217">
        <f>(M22/K22)*L22</f>
        <v>0.09</v>
      </c>
      <c r="O22" s="2934"/>
      <c r="P22" s="485">
        <v>110196000</v>
      </c>
      <c r="Q22" s="485">
        <v>163426000</v>
      </c>
      <c r="R22" s="505">
        <v>78856000</v>
      </c>
      <c r="S22" s="505">
        <v>47998000</v>
      </c>
      <c r="T22" s="1219">
        <f t="shared" si="1"/>
        <v>0.48251808157820664</v>
      </c>
      <c r="U22" s="1219">
        <f t="shared" si="1"/>
        <v>0.60867911129146801</v>
      </c>
      <c r="V22" s="506">
        <v>45320</v>
      </c>
      <c r="W22" s="506">
        <v>45657</v>
      </c>
      <c r="X22" s="1258" t="s">
        <v>656</v>
      </c>
      <c r="Y22" s="2930"/>
    </row>
    <row r="23" spans="1:25" ht="81">
      <c r="A23" s="2959"/>
      <c r="B23" s="488"/>
      <c r="C23" s="2946"/>
      <c r="D23" s="2947"/>
      <c r="E23" s="486" t="s">
        <v>657</v>
      </c>
      <c r="F23" s="360"/>
      <c r="G23" s="365"/>
      <c r="H23" s="360"/>
      <c r="I23" s="335" t="s">
        <v>658</v>
      </c>
      <c r="J23" s="335" t="s">
        <v>659</v>
      </c>
      <c r="K23" s="352">
        <v>391</v>
      </c>
      <c r="L23" s="487">
        <v>0.33</v>
      </c>
      <c r="M23" s="505">
        <v>48</v>
      </c>
      <c r="N23" s="1217">
        <f>(M23/K23)*L23</f>
        <v>4.051150895140665E-2</v>
      </c>
      <c r="O23" s="2934"/>
      <c r="P23" s="485">
        <v>300000000</v>
      </c>
      <c r="Q23" s="485">
        <v>656611769</v>
      </c>
      <c r="R23" s="505">
        <v>373942500</v>
      </c>
      <c r="S23" s="505">
        <v>247733500</v>
      </c>
      <c r="T23" s="1219">
        <f t="shared" si="1"/>
        <v>0.56950319451249432</v>
      </c>
      <c r="U23" s="1219">
        <f t="shared" si="1"/>
        <v>0.66249089097922809</v>
      </c>
      <c r="V23" s="506">
        <v>45315</v>
      </c>
      <c r="W23" s="506">
        <v>45657</v>
      </c>
      <c r="X23" s="1258" t="s">
        <v>4816</v>
      </c>
      <c r="Y23" s="2930"/>
    </row>
    <row r="24" spans="1:25" ht="94.5">
      <c r="A24" s="2959"/>
      <c r="B24" s="488"/>
      <c r="C24" s="2946"/>
      <c r="D24" s="2947"/>
      <c r="E24" s="486" t="s">
        <v>660</v>
      </c>
      <c r="F24" s="360"/>
      <c r="G24" s="335" t="s">
        <v>631</v>
      </c>
      <c r="H24" s="360"/>
      <c r="I24" s="335" t="s">
        <v>661</v>
      </c>
      <c r="J24" s="335" t="s">
        <v>662</v>
      </c>
      <c r="K24" s="352">
        <v>3</v>
      </c>
      <c r="L24" s="487">
        <v>0.34</v>
      </c>
      <c r="M24" s="505">
        <v>3</v>
      </c>
      <c r="N24" s="1217">
        <f>((M24/K24)*L24)/4</f>
        <v>8.5000000000000006E-2</v>
      </c>
      <c r="O24" s="2934"/>
      <c r="P24" s="485">
        <v>89804000</v>
      </c>
      <c r="Q24" s="485">
        <v>116574000</v>
      </c>
      <c r="R24" s="505">
        <v>96712000</v>
      </c>
      <c r="S24" s="505">
        <v>66836000</v>
      </c>
      <c r="T24" s="1219">
        <f t="shared" si="1"/>
        <v>0.82961895448384715</v>
      </c>
      <c r="U24" s="1219">
        <f t="shared" si="1"/>
        <v>0.69108280254777066</v>
      </c>
      <c r="V24" s="506">
        <v>45319</v>
      </c>
      <c r="W24" s="506">
        <v>45657</v>
      </c>
      <c r="X24" s="1258" t="s">
        <v>663</v>
      </c>
      <c r="Y24" s="2931"/>
    </row>
    <row r="25" spans="1:25">
      <c r="A25" s="1221"/>
      <c r="B25" s="488"/>
      <c r="C25" s="1222"/>
      <c r="D25" s="1223"/>
      <c r="E25" s="486"/>
      <c r="F25" s="360"/>
      <c r="G25" s="335"/>
      <c r="H25" s="360"/>
      <c r="I25" s="335"/>
      <c r="J25" s="802"/>
      <c r="K25" s="352"/>
      <c r="L25" s="487"/>
      <c r="M25" s="505"/>
      <c r="N25" s="1217"/>
      <c r="O25" s="1218"/>
      <c r="P25" s="485"/>
      <c r="Q25" s="485"/>
      <c r="R25" s="505"/>
      <c r="S25" s="505"/>
      <c r="T25" s="1219"/>
      <c r="U25" s="1219"/>
      <c r="V25" s="506"/>
      <c r="W25" s="506"/>
      <c r="X25" s="1258"/>
      <c r="Y25" s="942"/>
    </row>
    <row r="26" spans="1:25" ht="13.9" customHeight="1">
      <c r="A26" s="2960">
        <v>4133</v>
      </c>
      <c r="B26" s="488"/>
      <c r="C26" s="2963" t="s">
        <v>109</v>
      </c>
      <c r="D26" s="2966" t="s">
        <v>4817</v>
      </c>
      <c r="E26" s="486" t="s">
        <v>4818</v>
      </c>
      <c r="F26" s="360"/>
      <c r="G26" s="335"/>
      <c r="H26" s="360"/>
      <c r="I26" s="335"/>
      <c r="J26" s="471"/>
      <c r="K26" s="489">
        <f>+K28</f>
        <v>1</v>
      </c>
      <c r="L26" s="487">
        <v>1</v>
      </c>
      <c r="M26" s="505"/>
      <c r="N26" s="1217">
        <v>0</v>
      </c>
      <c r="O26" s="1218"/>
      <c r="P26" s="485">
        <f>SUM(P27:P28)</f>
        <v>0</v>
      </c>
      <c r="Q26" s="485">
        <f t="shared" ref="Q26:S26" si="4">SUM(Q27:Q28)</f>
        <v>860000000</v>
      </c>
      <c r="R26" s="485">
        <f t="shared" si="4"/>
        <v>0</v>
      </c>
      <c r="S26" s="485">
        <f t="shared" si="4"/>
        <v>0</v>
      </c>
      <c r="T26" s="1219"/>
      <c r="U26" s="1219"/>
      <c r="V26" s="506"/>
      <c r="W26" s="506"/>
      <c r="X26" s="1258"/>
      <c r="Y26" s="942"/>
    </row>
    <row r="27" spans="1:25" ht="40.5">
      <c r="A27" s="2961"/>
      <c r="B27" s="488"/>
      <c r="C27" s="2964"/>
      <c r="D27" s="2967"/>
      <c r="E27" s="486" t="s">
        <v>4819</v>
      </c>
      <c r="F27" s="360"/>
      <c r="G27" s="335"/>
      <c r="H27" s="360"/>
      <c r="I27" s="335" t="s">
        <v>4820</v>
      </c>
      <c r="J27" s="335" t="s">
        <v>4821</v>
      </c>
      <c r="K27" s="352">
        <v>2</v>
      </c>
      <c r="L27" s="487">
        <v>0.22</v>
      </c>
      <c r="M27" s="505">
        <v>0</v>
      </c>
      <c r="N27" s="1217">
        <f>(M27/K27)*L27</f>
        <v>0</v>
      </c>
      <c r="O27" s="1218"/>
      <c r="P27" s="505">
        <v>0</v>
      </c>
      <c r="Q27" s="505">
        <v>190000000</v>
      </c>
      <c r="R27" s="505">
        <v>0</v>
      </c>
      <c r="S27" s="505">
        <v>0</v>
      </c>
      <c r="T27" s="1219"/>
      <c r="U27" s="1219"/>
      <c r="V27" s="506"/>
      <c r="W27" s="506"/>
      <c r="X27" s="1258"/>
      <c r="Y27" s="2853" t="s">
        <v>634</v>
      </c>
    </row>
    <row r="28" spans="1:25" ht="81" customHeight="1">
      <c r="A28" s="2962"/>
      <c r="B28" s="488"/>
      <c r="C28" s="2965"/>
      <c r="D28" s="2968"/>
      <c r="E28" s="486" t="s">
        <v>4822</v>
      </c>
      <c r="F28" s="360"/>
      <c r="G28" s="335" t="s">
        <v>631</v>
      </c>
      <c r="H28" s="360"/>
      <c r="I28" s="335" t="s">
        <v>4823</v>
      </c>
      <c r="J28" s="335" t="s">
        <v>125</v>
      </c>
      <c r="K28" s="352">
        <v>1</v>
      </c>
      <c r="L28" s="487">
        <v>0.78</v>
      </c>
      <c r="M28" s="505">
        <v>0</v>
      </c>
      <c r="N28" s="1217">
        <f>(M28/K28)*L28</f>
        <v>0</v>
      </c>
      <c r="O28" s="1218"/>
      <c r="P28" s="505">
        <v>0</v>
      </c>
      <c r="Q28" s="505">
        <v>670000000</v>
      </c>
      <c r="R28" s="505">
        <v>0</v>
      </c>
      <c r="S28" s="505">
        <v>0</v>
      </c>
      <c r="T28" s="1219"/>
      <c r="U28" s="1219"/>
      <c r="V28" s="506"/>
      <c r="W28" s="506"/>
      <c r="X28" s="1258"/>
      <c r="Y28" s="2969"/>
    </row>
    <row r="29" spans="1:25">
      <c r="A29" s="508"/>
      <c r="B29" s="1246">
        <v>5105</v>
      </c>
      <c r="C29" s="1246" t="s">
        <v>101</v>
      </c>
      <c r="D29" s="1247" t="s">
        <v>664</v>
      </c>
      <c r="E29" s="513"/>
      <c r="F29" s="513"/>
      <c r="G29" s="513"/>
      <c r="H29" s="513"/>
      <c r="I29" s="507"/>
      <c r="J29" s="507"/>
      <c r="K29" s="508"/>
      <c r="L29" s="508"/>
      <c r="M29" s="505"/>
      <c r="N29" s="1248"/>
      <c r="O29" s="1218"/>
      <c r="P29" s="505"/>
      <c r="Q29" s="505"/>
      <c r="R29" s="505"/>
      <c r="S29" s="505"/>
      <c r="T29" s="1219"/>
      <c r="U29" s="1219"/>
      <c r="V29" s="506"/>
      <c r="W29" s="507"/>
      <c r="X29" s="1258"/>
      <c r="Y29" s="2970"/>
    </row>
    <row r="30" spans="1:25" ht="14.45" customHeight="1">
      <c r="A30" s="508"/>
      <c r="B30" s="1246">
        <v>5105002</v>
      </c>
      <c r="C30" s="1246" t="s">
        <v>102</v>
      </c>
      <c r="D30" s="1247" t="s">
        <v>665</v>
      </c>
      <c r="E30" s="513"/>
      <c r="F30" s="513"/>
      <c r="G30" s="513"/>
      <c r="H30" s="513"/>
      <c r="I30" s="507"/>
      <c r="J30" s="507"/>
      <c r="K30" s="508"/>
      <c r="L30" s="508"/>
      <c r="M30" s="505"/>
      <c r="N30" s="1248"/>
      <c r="O30" s="1218"/>
      <c r="P30" s="505"/>
      <c r="Q30" s="505"/>
      <c r="R30" s="505"/>
      <c r="S30" s="505"/>
      <c r="T30" s="1219"/>
      <c r="U30" s="1219"/>
      <c r="V30" s="506"/>
      <c r="W30" s="507"/>
      <c r="X30" s="1258"/>
      <c r="Y30" s="508"/>
    </row>
    <row r="31" spans="1:25" ht="40.5">
      <c r="A31" s="508"/>
      <c r="B31" s="504">
        <v>51050020008</v>
      </c>
      <c r="C31" s="504" t="s">
        <v>103</v>
      </c>
      <c r="D31" s="507" t="s">
        <v>666</v>
      </c>
      <c r="E31" s="513"/>
      <c r="F31" s="513"/>
      <c r="G31" s="513"/>
      <c r="H31" s="508"/>
      <c r="I31" s="507"/>
      <c r="J31" s="507"/>
      <c r="K31" s="508"/>
      <c r="L31" s="508"/>
      <c r="M31" s="505"/>
      <c r="N31" s="1217"/>
      <c r="O31" s="1217"/>
      <c r="P31" s="505"/>
      <c r="Q31" s="505"/>
      <c r="R31" s="505"/>
      <c r="S31" s="505"/>
      <c r="T31" s="1219"/>
      <c r="U31" s="1219"/>
      <c r="V31" s="506"/>
      <c r="W31" s="507"/>
      <c r="X31" s="1258"/>
      <c r="Y31" s="508"/>
    </row>
    <row r="32" spans="1:25" ht="16.5" customHeight="1">
      <c r="A32" s="2959">
        <v>4133</v>
      </c>
      <c r="B32" s="488"/>
      <c r="C32" s="2946" t="s">
        <v>109</v>
      </c>
      <c r="D32" s="2947" t="s">
        <v>667</v>
      </c>
      <c r="E32" s="335" t="s">
        <v>668</v>
      </c>
      <c r="F32" s="355"/>
      <c r="G32" s="353"/>
      <c r="H32" s="355"/>
      <c r="I32" s="353"/>
      <c r="J32" s="355"/>
      <c r="K32" s="489">
        <f>K33</f>
        <v>150</v>
      </c>
      <c r="L32" s="487">
        <f>SUM(L33:L35)</f>
        <v>1</v>
      </c>
      <c r="M32" s="505"/>
      <c r="N32" s="1217">
        <f>SUM(N33:N35)</f>
        <v>0.03</v>
      </c>
      <c r="O32" s="2934">
        <f>IF(Q32&gt;0,N32,"na")</f>
        <v>0.03</v>
      </c>
      <c r="P32" s="505">
        <f>SUM(P33:P35)</f>
        <v>600000000</v>
      </c>
      <c r="Q32" s="505">
        <f t="shared" ref="Q32:S32" si="5">SUM(Q33:Q35)</f>
        <v>600000000</v>
      </c>
      <c r="R32" s="505">
        <f t="shared" si="5"/>
        <v>175682000</v>
      </c>
      <c r="S32" s="505">
        <f t="shared" si="5"/>
        <v>129067000</v>
      </c>
      <c r="T32" s="1219">
        <f>+IF(Q32=0,0,R32/Q32)</f>
        <v>0.29280333333333336</v>
      </c>
      <c r="U32" s="1219">
        <f>+IF(R32=0,0,S32/R32)</f>
        <v>0.73466262906843049</v>
      </c>
      <c r="V32" s="506"/>
      <c r="W32" s="507"/>
      <c r="X32" s="1258"/>
      <c r="Y32" s="2929" t="s">
        <v>673</v>
      </c>
    </row>
    <row r="33" spans="1:25" ht="66" customHeight="1">
      <c r="A33" s="2959"/>
      <c r="B33" s="488"/>
      <c r="C33" s="2946"/>
      <c r="D33" s="2947"/>
      <c r="E33" s="486" t="s">
        <v>669</v>
      </c>
      <c r="F33" s="355"/>
      <c r="G33" s="182" t="s">
        <v>670</v>
      </c>
      <c r="H33" s="356"/>
      <c r="I33" s="486" t="s">
        <v>671</v>
      </c>
      <c r="J33" s="486" t="s">
        <v>672</v>
      </c>
      <c r="K33" s="489">
        <v>150</v>
      </c>
      <c r="L33" s="487">
        <v>0.9</v>
      </c>
      <c r="M33" s="505">
        <v>5</v>
      </c>
      <c r="N33" s="1217">
        <f>(M33/K33)*L33</f>
        <v>0.03</v>
      </c>
      <c r="O33" s="2934"/>
      <c r="P33" s="485">
        <v>502543200</v>
      </c>
      <c r="Q33" s="485">
        <v>502543200</v>
      </c>
      <c r="R33" s="505">
        <v>175682000</v>
      </c>
      <c r="S33" s="505">
        <v>129067000</v>
      </c>
      <c r="T33" s="1219">
        <f>+IF(Q33=0,0,R33/Q33)</f>
        <v>0.34958586644889433</v>
      </c>
      <c r="U33" s="1219">
        <f>+IF(R33=0,0,S33/R33)</f>
        <v>0.73466262906843049</v>
      </c>
      <c r="V33" s="506">
        <v>45317</v>
      </c>
      <c r="W33" s="506">
        <v>45657</v>
      </c>
      <c r="X33" s="1258" t="s">
        <v>4824</v>
      </c>
      <c r="Y33" s="2930"/>
    </row>
    <row r="34" spans="1:25" ht="54">
      <c r="A34" s="2959"/>
      <c r="B34" s="488"/>
      <c r="C34" s="2946"/>
      <c r="D34" s="2947"/>
      <c r="E34" s="486" t="s">
        <v>680</v>
      </c>
      <c r="F34" s="355"/>
      <c r="G34" s="182"/>
      <c r="H34" s="355"/>
      <c r="I34" s="486" t="s">
        <v>681</v>
      </c>
      <c r="J34" s="486" t="s">
        <v>682</v>
      </c>
      <c r="K34" s="489">
        <v>1</v>
      </c>
      <c r="L34" s="487">
        <v>0.03</v>
      </c>
      <c r="M34" s="505">
        <v>0</v>
      </c>
      <c r="N34" s="1217">
        <f t="shared" ref="N34" si="6">(M34/K34)*L34</f>
        <v>0</v>
      </c>
      <c r="O34" s="2934"/>
      <c r="P34" s="485">
        <v>25620000</v>
      </c>
      <c r="Q34" s="485">
        <v>25620000</v>
      </c>
      <c r="R34" s="505">
        <v>0</v>
      </c>
      <c r="S34" s="505">
        <v>0</v>
      </c>
      <c r="T34" s="1219">
        <f t="shared" ref="T34:U43" si="7">+IF(Q34=0,0,R34/Q34)</f>
        <v>0</v>
      </c>
      <c r="U34" s="1219">
        <f t="shared" si="7"/>
        <v>0</v>
      </c>
      <c r="V34" s="506"/>
      <c r="W34" s="507"/>
      <c r="X34" s="1258"/>
      <c r="Y34" s="2930"/>
    </row>
    <row r="35" spans="1:25" ht="67.5">
      <c r="A35" s="2959"/>
      <c r="B35" s="488"/>
      <c r="C35" s="2946"/>
      <c r="D35" s="2947"/>
      <c r="E35" s="486" t="s">
        <v>683</v>
      </c>
      <c r="F35" s="355"/>
      <c r="G35" s="353"/>
      <c r="H35" s="355"/>
      <c r="I35" s="486" t="s">
        <v>684</v>
      </c>
      <c r="J35" s="486" t="s">
        <v>679</v>
      </c>
      <c r="K35" s="489">
        <v>30</v>
      </c>
      <c r="L35" s="487">
        <v>7.0000000000000007E-2</v>
      </c>
      <c r="M35" s="505">
        <v>0</v>
      </c>
      <c r="N35" s="1217">
        <f>(M35/K35)*L35</f>
        <v>0</v>
      </c>
      <c r="O35" s="2934"/>
      <c r="P35" s="485">
        <v>71836800</v>
      </c>
      <c r="Q35" s="485">
        <v>71836800</v>
      </c>
      <c r="R35" s="505">
        <v>0</v>
      </c>
      <c r="S35" s="505">
        <v>0</v>
      </c>
      <c r="T35" s="1219">
        <f t="shared" si="7"/>
        <v>0</v>
      </c>
      <c r="U35" s="1219">
        <f>+IF(R35=0,0,S35/R35)</f>
        <v>0</v>
      </c>
      <c r="V35" s="506"/>
      <c r="W35" s="507"/>
      <c r="X35" s="1258"/>
      <c r="Y35" s="2931"/>
    </row>
    <row r="36" spans="1:25">
      <c r="A36" s="363"/>
      <c r="B36" s="488"/>
      <c r="C36" s="939"/>
      <c r="D36" s="940"/>
      <c r="E36" s="486"/>
      <c r="F36" s="355"/>
      <c r="G36" s="353"/>
      <c r="H36" s="355"/>
      <c r="I36" s="486"/>
      <c r="J36" s="486"/>
      <c r="K36" s="489"/>
      <c r="L36" s="487"/>
      <c r="M36" s="505"/>
      <c r="N36" s="1217"/>
      <c r="O36" s="1218"/>
      <c r="P36" s="485"/>
      <c r="Q36" s="485"/>
      <c r="R36" s="505"/>
      <c r="S36" s="505"/>
      <c r="T36" s="1219"/>
      <c r="U36" s="1219"/>
      <c r="V36" s="506"/>
      <c r="W36" s="507"/>
      <c r="X36" s="1258"/>
      <c r="Y36" s="941"/>
    </row>
    <row r="37" spans="1:25">
      <c r="A37" s="2959">
        <v>4133</v>
      </c>
      <c r="B37" s="192"/>
      <c r="C37" s="2946" t="s">
        <v>109</v>
      </c>
      <c r="D37" s="2947" t="s">
        <v>674</v>
      </c>
      <c r="E37" s="335" t="s">
        <v>675</v>
      </c>
      <c r="F37" s="192"/>
      <c r="G37" s="182"/>
      <c r="H37" s="192"/>
      <c r="I37" s="183"/>
      <c r="J37" s="183"/>
      <c r="K37" s="182">
        <f>K39</f>
        <v>7</v>
      </c>
      <c r="L37" s="197">
        <f>SUM(L39:L39)</f>
        <v>0.9</v>
      </c>
      <c r="M37" s="505"/>
      <c r="N37" s="1217">
        <f>SUM(N39:N39)</f>
        <v>0.6428571428571429</v>
      </c>
      <c r="O37" s="2934">
        <f>IF(Q37&gt;0,N37,"na")</f>
        <v>0.6428571428571429</v>
      </c>
      <c r="P37" s="505">
        <f>SUM(P38:P39)</f>
        <v>100000000</v>
      </c>
      <c r="Q37" s="505">
        <f>SUM(Q38:Q39)</f>
        <v>240355932</v>
      </c>
      <c r="R37" s="505">
        <f t="shared" ref="R37:S37" si="8">SUM(R38:R39)</f>
        <v>184549432</v>
      </c>
      <c r="S37" s="505">
        <f t="shared" si="8"/>
        <v>22039000</v>
      </c>
      <c r="T37" s="1219">
        <f t="shared" si="7"/>
        <v>0.76781725528621447</v>
      </c>
      <c r="U37" s="1219">
        <f t="shared" si="7"/>
        <v>0.11942057887233161</v>
      </c>
      <c r="V37" s="506"/>
      <c r="W37" s="507"/>
      <c r="X37" s="1258"/>
      <c r="Y37" s="2929" t="s">
        <v>673</v>
      </c>
    </row>
    <row r="38" spans="1:25" ht="54">
      <c r="A38" s="2959"/>
      <c r="B38" s="192"/>
      <c r="C38" s="2946"/>
      <c r="D38" s="2947"/>
      <c r="E38" s="335" t="s">
        <v>4825</v>
      </c>
      <c r="F38" s="192"/>
      <c r="G38" s="182"/>
      <c r="H38" s="192"/>
      <c r="I38" s="183"/>
      <c r="J38" s="183" t="s">
        <v>4826</v>
      </c>
      <c r="K38" s="182">
        <v>1</v>
      </c>
      <c r="L38" s="197">
        <v>0.1</v>
      </c>
      <c r="M38" s="505">
        <v>0.6</v>
      </c>
      <c r="N38" s="1217">
        <f>(M38/K38)*L38</f>
        <v>0.06</v>
      </c>
      <c r="O38" s="2934"/>
      <c r="P38" s="505">
        <v>0</v>
      </c>
      <c r="Q38" s="505">
        <v>140355932</v>
      </c>
      <c r="R38" s="505">
        <v>140355932</v>
      </c>
      <c r="S38" s="505">
        <v>0</v>
      </c>
      <c r="T38" s="1219">
        <f>+IF(Q38=0,0,R38/Q38)</f>
        <v>1</v>
      </c>
      <c r="U38" s="1219">
        <f>+IF(R38=0,0,S38/R38)</f>
        <v>0</v>
      </c>
      <c r="V38" s="506">
        <v>45368</v>
      </c>
      <c r="W38" s="506">
        <v>45657</v>
      </c>
      <c r="X38" s="1258" t="s">
        <v>4827</v>
      </c>
      <c r="Y38" s="2930"/>
    </row>
    <row r="39" spans="1:25" ht="16.5" customHeight="1">
      <c r="A39" s="2959"/>
      <c r="B39" s="192"/>
      <c r="C39" s="2946"/>
      <c r="D39" s="2947"/>
      <c r="E39" s="486" t="s">
        <v>676</v>
      </c>
      <c r="F39" s="192"/>
      <c r="G39" s="182" t="s">
        <v>677</v>
      </c>
      <c r="H39" s="192"/>
      <c r="I39" s="183" t="s">
        <v>678</v>
      </c>
      <c r="J39" s="183" t="s">
        <v>679</v>
      </c>
      <c r="K39" s="182">
        <v>7</v>
      </c>
      <c r="L39" s="197">
        <v>0.9</v>
      </c>
      <c r="M39" s="505">
        <v>5</v>
      </c>
      <c r="N39" s="1217">
        <f>(M39/K39)*L39</f>
        <v>0.6428571428571429</v>
      </c>
      <c r="O39" s="2934"/>
      <c r="P39" s="485">
        <v>100000000</v>
      </c>
      <c r="Q39" s="485">
        <v>100000000</v>
      </c>
      <c r="R39" s="505">
        <v>44193500</v>
      </c>
      <c r="S39" s="505">
        <v>22039000</v>
      </c>
      <c r="T39" s="1219">
        <f t="shared" si="7"/>
        <v>0.44193500000000002</v>
      </c>
      <c r="U39" s="1219">
        <f t="shared" si="7"/>
        <v>0.49869324674443072</v>
      </c>
      <c r="V39" s="506">
        <v>45362</v>
      </c>
      <c r="W39" s="506">
        <v>45657</v>
      </c>
      <c r="X39" s="1258" t="s">
        <v>4828</v>
      </c>
      <c r="Y39" s="2931"/>
    </row>
    <row r="40" spans="1:25" ht="52.9" customHeight="1">
      <c r="A40" s="363"/>
      <c r="B40" s="192"/>
      <c r="C40" s="939"/>
      <c r="D40" s="940"/>
      <c r="E40" s="486"/>
      <c r="F40" s="192"/>
      <c r="G40" s="182"/>
      <c r="H40" s="192"/>
      <c r="I40" s="183"/>
      <c r="J40" s="183"/>
      <c r="K40" s="182"/>
      <c r="L40" s="197"/>
      <c r="M40" s="505"/>
      <c r="N40" s="1217"/>
      <c r="O40" s="1218"/>
      <c r="P40" s="485"/>
      <c r="Q40" s="485"/>
      <c r="R40" s="505"/>
      <c r="S40" s="505"/>
      <c r="T40" s="1219"/>
      <c r="U40" s="1219"/>
      <c r="V40" s="506"/>
      <c r="W40" s="506"/>
      <c r="X40" s="1258"/>
      <c r="Y40" s="941"/>
    </row>
    <row r="41" spans="1:25">
      <c r="A41" s="2959">
        <v>4133</v>
      </c>
      <c r="B41" s="192"/>
      <c r="C41" s="2946" t="s">
        <v>109</v>
      </c>
      <c r="D41" s="2947" t="s">
        <v>685</v>
      </c>
      <c r="E41" s="335" t="s">
        <v>686</v>
      </c>
      <c r="F41" s="192"/>
      <c r="G41" s="182"/>
      <c r="H41" s="192"/>
      <c r="I41" s="183"/>
      <c r="J41" s="183"/>
      <c r="K41" s="489">
        <f>+K43</f>
        <v>20</v>
      </c>
      <c r="L41" s="197">
        <f>SUM(L42:L43)</f>
        <v>1</v>
      </c>
      <c r="M41" s="505"/>
      <c r="N41" s="1217">
        <f>SUM(N42:N43)</f>
        <v>0</v>
      </c>
      <c r="O41" s="2934">
        <f>IF(Q41&gt;0,N41,"na")</f>
        <v>0</v>
      </c>
      <c r="P41" s="505">
        <f>SUM(P42:P43)</f>
        <v>608661480</v>
      </c>
      <c r="Q41" s="505">
        <f t="shared" ref="Q41:S41" si="9">SUM(Q42:Q43)</f>
        <v>608661480</v>
      </c>
      <c r="R41" s="505">
        <f t="shared" si="9"/>
        <v>0</v>
      </c>
      <c r="S41" s="505">
        <f t="shared" si="9"/>
        <v>0</v>
      </c>
      <c r="T41" s="1219">
        <f t="shared" si="7"/>
        <v>0</v>
      </c>
      <c r="U41" s="1219">
        <f t="shared" si="7"/>
        <v>0</v>
      </c>
      <c r="V41" s="507"/>
      <c r="W41" s="507"/>
      <c r="X41" s="1258"/>
      <c r="Y41" s="2929" t="s">
        <v>673</v>
      </c>
    </row>
    <row r="42" spans="1:25" ht="40.5">
      <c r="A42" s="2959"/>
      <c r="B42" s="192"/>
      <c r="C42" s="2946"/>
      <c r="D42" s="2947"/>
      <c r="E42" s="486" t="s">
        <v>687</v>
      </c>
      <c r="F42" s="192"/>
      <c r="G42" s="2933" t="s">
        <v>677</v>
      </c>
      <c r="H42" s="192"/>
      <c r="I42" s="183" t="s">
        <v>688</v>
      </c>
      <c r="J42" s="183" t="s">
        <v>679</v>
      </c>
      <c r="K42" s="182">
        <v>100</v>
      </c>
      <c r="L42" s="197">
        <v>0.3</v>
      </c>
      <c r="M42" s="505">
        <v>0</v>
      </c>
      <c r="N42" s="1217">
        <f t="shared" ref="N42:N43" si="10">(M42/K42)*L42</f>
        <v>0</v>
      </c>
      <c r="O42" s="2934"/>
      <c r="P42" s="485">
        <v>190478400</v>
      </c>
      <c r="Q42" s="485">
        <v>190478400</v>
      </c>
      <c r="R42" s="505">
        <v>0</v>
      </c>
      <c r="S42" s="505">
        <v>0</v>
      </c>
      <c r="T42" s="1219">
        <f t="shared" si="7"/>
        <v>0</v>
      </c>
      <c r="U42" s="1219">
        <f t="shared" si="7"/>
        <v>0</v>
      </c>
      <c r="V42" s="507"/>
      <c r="W42" s="507"/>
      <c r="X42" s="1258"/>
      <c r="Y42" s="2930"/>
    </row>
    <row r="43" spans="1:25" ht="81" customHeight="1">
      <c r="A43" s="2959"/>
      <c r="B43" s="192"/>
      <c r="C43" s="2946"/>
      <c r="D43" s="2947"/>
      <c r="E43" s="486" t="s">
        <v>689</v>
      </c>
      <c r="F43" s="514"/>
      <c r="G43" s="2933"/>
      <c r="H43" s="514"/>
      <c r="I43" s="183" t="s">
        <v>690</v>
      </c>
      <c r="J43" s="183" t="s">
        <v>691</v>
      </c>
      <c r="K43" s="182">
        <v>20</v>
      </c>
      <c r="L43" s="197">
        <v>0.7</v>
      </c>
      <c r="M43" s="505">
        <v>0</v>
      </c>
      <c r="N43" s="1217">
        <f t="shared" si="10"/>
        <v>0</v>
      </c>
      <c r="O43" s="2934"/>
      <c r="P43" s="485">
        <v>418183080</v>
      </c>
      <c r="Q43" s="485">
        <v>418183080</v>
      </c>
      <c r="R43" s="505">
        <v>0</v>
      </c>
      <c r="S43" s="505">
        <v>0</v>
      </c>
      <c r="T43" s="1219">
        <f t="shared" si="7"/>
        <v>0</v>
      </c>
      <c r="U43" s="1219">
        <f t="shared" si="7"/>
        <v>0</v>
      </c>
      <c r="V43" s="507"/>
      <c r="W43" s="507"/>
      <c r="X43" s="1258"/>
      <c r="Y43" s="2931"/>
    </row>
    <row r="44" spans="1:25" ht="14.45" customHeight="1">
      <c r="A44" s="508"/>
      <c r="B44" s="1246">
        <v>52</v>
      </c>
      <c r="C44" s="1246" t="s">
        <v>100</v>
      </c>
      <c r="D44" s="1249" t="s">
        <v>148</v>
      </c>
      <c r="E44" s="513"/>
      <c r="F44" s="513"/>
      <c r="G44" s="513"/>
      <c r="H44" s="513"/>
      <c r="I44" s="507"/>
      <c r="J44" s="507"/>
      <c r="K44" s="508"/>
      <c r="L44" s="508"/>
      <c r="M44" s="507"/>
      <c r="N44" s="1220"/>
      <c r="O44" s="1220"/>
      <c r="P44" s="505"/>
      <c r="Q44" s="505"/>
      <c r="R44" s="505"/>
      <c r="S44" s="505"/>
      <c r="T44" s="1219"/>
      <c r="U44" s="1219"/>
      <c r="V44" s="506"/>
      <c r="W44" s="507"/>
      <c r="X44" s="1258"/>
      <c r="Y44" s="508"/>
    </row>
    <row r="45" spans="1:25">
      <c r="A45" s="508"/>
      <c r="B45" s="1246">
        <v>5203</v>
      </c>
      <c r="C45" s="1246" t="s">
        <v>101</v>
      </c>
      <c r="D45" s="1247" t="s">
        <v>149</v>
      </c>
      <c r="E45" s="513"/>
      <c r="F45" s="513"/>
      <c r="G45" s="513"/>
      <c r="H45" s="513"/>
      <c r="I45" s="507"/>
      <c r="J45" s="507"/>
      <c r="K45" s="508"/>
      <c r="L45" s="508"/>
      <c r="M45" s="507"/>
      <c r="N45" s="1220"/>
      <c r="O45" s="1220"/>
      <c r="P45" s="505"/>
      <c r="Q45" s="505"/>
      <c r="R45" s="505"/>
      <c r="S45" s="505"/>
      <c r="T45" s="1219"/>
      <c r="U45" s="1219"/>
      <c r="V45" s="506"/>
      <c r="W45" s="507"/>
      <c r="X45" s="1258"/>
      <c r="Y45" s="508"/>
    </row>
    <row r="46" spans="1:25" ht="14.45" customHeight="1">
      <c r="A46" s="508"/>
      <c r="B46" s="1246">
        <v>5203007</v>
      </c>
      <c r="C46" s="1246" t="s">
        <v>102</v>
      </c>
      <c r="D46" s="1247" t="s">
        <v>150</v>
      </c>
      <c r="E46" s="513"/>
      <c r="F46" s="513"/>
      <c r="G46" s="513"/>
      <c r="H46" s="513"/>
      <c r="I46" s="507"/>
      <c r="J46" s="507"/>
      <c r="K46" s="508"/>
      <c r="L46" s="508"/>
      <c r="M46" s="507"/>
      <c r="N46" s="1220"/>
      <c r="O46" s="1220"/>
      <c r="P46" s="505"/>
      <c r="Q46" s="505"/>
      <c r="R46" s="505"/>
      <c r="S46" s="505"/>
      <c r="T46" s="1219"/>
      <c r="U46" s="1219"/>
      <c r="V46" s="506"/>
      <c r="W46" s="507"/>
      <c r="X46" s="1258"/>
      <c r="Y46" s="508"/>
    </row>
    <row r="47" spans="1:25" ht="27">
      <c r="A47" s="508"/>
      <c r="B47" s="504">
        <v>52030070002</v>
      </c>
      <c r="C47" s="504" t="s">
        <v>103</v>
      </c>
      <c r="D47" s="507" t="s">
        <v>692</v>
      </c>
      <c r="E47" s="513"/>
      <c r="F47" s="513"/>
      <c r="G47" s="513"/>
      <c r="H47" s="508"/>
      <c r="I47" s="507"/>
      <c r="J47" s="507"/>
      <c r="K47" s="508"/>
      <c r="L47" s="508"/>
      <c r="M47" s="507"/>
      <c r="N47" s="1220"/>
      <c r="O47" s="1220"/>
      <c r="P47" s="505"/>
      <c r="Q47" s="505"/>
      <c r="R47" s="505"/>
      <c r="S47" s="505"/>
      <c r="T47" s="1219"/>
      <c r="U47" s="1219"/>
      <c r="V47" s="506"/>
      <c r="W47" s="507"/>
      <c r="X47" s="1258"/>
      <c r="Y47" s="508"/>
    </row>
    <row r="48" spans="1:25" ht="14.45" customHeight="1">
      <c r="A48" s="2935">
        <v>4133</v>
      </c>
      <c r="B48" s="192"/>
      <c r="C48" s="2935" t="s">
        <v>109</v>
      </c>
      <c r="D48" s="2933" t="s">
        <v>693</v>
      </c>
      <c r="E48" s="182" t="s">
        <v>694</v>
      </c>
      <c r="F48" s="355"/>
      <c r="G48" s="353"/>
      <c r="H48" s="355"/>
      <c r="I48" s="353"/>
      <c r="J48" s="355"/>
      <c r="K48" s="489">
        <f>K49</f>
        <v>5847</v>
      </c>
      <c r="L48" s="487">
        <f>SUM(L49:L52)</f>
        <v>1</v>
      </c>
      <c r="M48" s="507"/>
      <c r="N48" s="1220">
        <f>SUM(N49:N52)</f>
        <v>0.25</v>
      </c>
      <c r="O48" s="2934">
        <f>IF(Q48&gt;0,N48,"na")</f>
        <v>0.25</v>
      </c>
      <c r="P48" s="505">
        <f>SUM(P49:P52)</f>
        <v>861223975</v>
      </c>
      <c r="Q48" s="505">
        <f t="shared" ref="Q48:S48" si="11">SUM(Q49:Q52)</f>
        <v>3049751406</v>
      </c>
      <c r="R48" s="505">
        <f t="shared" si="11"/>
        <v>552026500</v>
      </c>
      <c r="S48" s="505">
        <f t="shared" si="11"/>
        <v>294692000</v>
      </c>
      <c r="T48" s="1219">
        <f>+IF(Q48=0,0,R48/Q48)</f>
        <v>0.18100704828398725</v>
      </c>
      <c r="U48" s="1219">
        <f>+IF(R48=0,0,S48/R48)</f>
        <v>0.53383669081103902</v>
      </c>
      <c r="V48" s="506"/>
      <c r="W48" s="507"/>
      <c r="X48" s="1258"/>
      <c r="Y48" s="2929" t="s">
        <v>673</v>
      </c>
    </row>
    <row r="49" spans="1:25" ht="40.5">
      <c r="A49" s="2935"/>
      <c r="B49" s="192"/>
      <c r="C49" s="2935"/>
      <c r="D49" s="2933"/>
      <c r="E49" s="183" t="s">
        <v>695</v>
      </c>
      <c r="F49" s="355"/>
      <c r="G49" s="2933" t="s">
        <v>696</v>
      </c>
      <c r="H49" s="355"/>
      <c r="I49" s="183" t="s">
        <v>4829</v>
      </c>
      <c r="J49" s="183" t="s">
        <v>697</v>
      </c>
      <c r="K49" s="489">
        <v>5847</v>
      </c>
      <c r="L49" s="487">
        <v>0.41</v>
      </c>
      <c r="M49" s="507">
        <v>0</v>
      </c>
      <c r="N49" s="1217">
        <f t="shared" ref="N49:N73" si="12">(M49/K49)*L49</f>
        <v>0</v>
      </c>
      <c r="O49" s="2934"/>
      <c r="P49" s="485">
        <v>350778599</v>
      </c>
      <c r="Q49" s="485">
        <v>1150778599</v>
      </c>
      <c r="R49" s="505">
        <v>0</v>
      </c>
      <c r="S49" s="505">
        <v>0</v>
      </c>
      <c r="T49" s="1219">
        <f t="shared" ref="T49:U52" si="13">+IF(Q49=0,0,R49/Q49)</f>
        <v>0</v>
      </c>
      <c r="U49" s="1219">
        <f t="shared" si="13"/>
        <v>0</v>
      </c>
      <c r="V49" s="507"/>
      <c r="W49" s="507"/>
      <c r="X49" s="1258"/>
      <c r="Y49" s="2930"/>
    </row>
    <row r="50" spans="1:25" ht="14.45" customHeight="1">
      <c r="A50" s="2935"/>
      <c r="B50" s="192"/>
      <c r="C50" s="2935"/>
      <c r="D50" s="2933"/>
      <c r="E50" s="183" t="s">
        <v>698</v>
      </c>
      <c r="F50" s="355"/>
      <c r="G50" s="2933"/>
      <c r="H50" s="355"/>
      <c r="I50" s="183" t="s">
        <v>4830</v>
      </c>
      <c r="J50" s="183" t="s">
        <v>4831</v>
      </c>
      <c r="K50" s="489">
        <v>3895</v>
      </c>
      <c r="L50" s="487">
        <v>0.09</v>
      </c>
      <c r="M50" s="507">
        <v>0</v>
      </c>
      <c r="N50" s="1217">
        <f t="shared" si="12"/>
        <v>0</v>
      </c>
      <c r="O50" s="2934"/>
      <c r="P50" s="485">
        <v>78147586</v>
      </c>
      <c r="Q50" s="485">
        <v>1049907586</v>
      </c>
      <c r="R50" s="505">
        <v>0</v>
      </c>
      <c r="S50" s="505">
        <v>0</v>
      </c>
      <c r="T50" s="1219">
        <f t="shared" si="13"/>
        <v>0</v>
      </c>
      <c r="U50" s="1219">
        <f t="shared" si="13"/>
        <v>0</v>
      </c>
      <c r="V50" s="507"/>
      <c r="W50" s="507"/>
      <c r="X50" s="1258"/>
      <c r="Y50" s="2930"/>
    </row>
    <row r="51" spans="1:25" ht="175.5">
      <c r="A51" s="2935"/>
      <c r="B51" s="192"/>
      <c r="C51" s="2935"/>
      <c r="D51" s="2933"/>
      <c r="E51" s="183" t="s">
        <v>700</v>
      </c>
      <c r="F51" s="355"/>
      <c r="G51" s="353"/>
      <c r="H51" s="355"/>
      <c r="I51" s="183" t="s">
        <v>701</v>
      </c>
      <c r="J51" s="183" t="s">
        <v>193</v>
      </c>
      <c r="K51" s="489">
        <v>4</v>
      </c>
      <c r="L51" s="487">
        <v>0.25</v>
      </c>
      <c r="M51" s="507">
        <v>3</v>
      </c>
      <c r="N51" s="1217">
        <f t="shared" si="12"/>
        <v>0.1875</v>
      </c>
      <c r="O51" s="2934"/>
      <c r="P51" s="485">
        <v>217297790</v>
      </c>
      <c r="Q51" s="485">
        <v>504065221</v>
      </c>
      <c r="R51" s="505">
        <v>367989500</v>
      </c>
      <c r="S51" s="505">
        <v>200346500</v>
      </c>
      <c r="T51" s="1219">
        <f t="shared" si="13"/>
        <v>0.73004342428139868</v>
      </c>
      <c r="U51" s="1219">
        <f t="shared" si="13"/>
        <v>0.54443537111792595</v>
      </c>
      <c r="V51" s="506">
        <v>45314</v>
      </c>
      <c r="W51" s="506">
        <v>45657</v>
      </c>
      <c r="X51" s="1258" t="s">
        <v>4832</v>
      </c>
      <c r="Y51" s="2930"/>
    </row>
    <row r="52" spans="1:25" ht="14.45" customHeight="1">
      <c r="A52" s="2935"/>
      <c r="B52" s="192"/>
      <c r="C52" s="2935"/>
      <c r="D52" s="2933"/>
      <c r="E52" s="183" t="s">
        <v>702</v>
      </c>
      <c r="F52" s="355"/>
      <c r="G52" s="353"/>
      <c r="H52" s="355"/>
      <c r="I52" s="183" t="s">
        <v>703</v>
      </c>
      <c r="J52" s="183" t="s">
        <v>704</v>
      </c>
      <c r="K52" s="489">
        <v>1</v>
      </c>
      <c r="L52" s="487">
        <v>0.25</v>
      </c>
      <c r="M52" s="507">
        <v>1</v>
      </c>
      <c r="N52" s="1217">
        <f>((M52/K52)*L52)/4</f>
        <v>6.25E-2</v>
      </c>
      <c r="O52" s="2934"/>
      <c r="P52" s="485">
        <v>215000000</v>
      </c>
      <c r="Q52" s="485">
        <v>345000000</v>
      </c>
      <c r="R52" s="505">
        <v>184037000</v>
      </c>
      <c r="S52" s="505">
        <v>94345500</v>
      </c>
      <c r="T52" s="1219">
        <f t="shared" si="13"/>
        <v>0.53344057971014491</v>
      </c>
      <c r="U52" s="1219">
        <f t="shared" si="13"/>
        <v>0.51264419654743343</v>
      </c>
      <c r="V52" s="506">
        <v>45318</v>
      </c>
      <c r="W52" s="506">
        <v>45657</v>
      </c>
      <c r="X52" s="1258" t="s">
        <v>4833</v>
      </c>
      <c r="Y52" s="2931"/>
    </row>
    <row r="53" spans="1:25">
      <c r="A53" s="192"/>
      <c r="B53" s="192"/>
      <c r="C53" s="192"/>
      <c r="D53" s="183"/>
      <c r="E53" s="183"/>
      <c r="F53" s="355"/>
      <c r="G53" s="353"/>
      <c r="H53" s="355"/>
      <c r="I53" s="183"/>
      <c r="J53" s="183"/>
      <c r="K53" s="489"/>
      <c r="L53" s="487"/>
      <c r="M53" s="507"/>
      <c r="N53" s="1217"/>
      <c r="O53" s="1218"/>
      <c r="P53" s="485"/>
      <c r="Q53" s="485"/>
      <c r="R53" s="505"/>
      <c r="S53" s="505"/>
      <c r="T53" s="1219"/>
      <c r="U53" s="1219"/>
      <c r="V53" s="506"/>
      <c r="W53" s="506"/>
      <c r="X53" s="1258"/>
      <c r="Y53" s="941"/>
    </row>
    <row r="54" spans="1:25" ht="14.45" customHeight="1">
      <c r="A54" s="2935">
        <v>4133</v>
      </c>
      <c r="B54" s="192"/>
      <c r="C54" s="2935" t="s">
        <v>109</v>
      </c>
      <c r="D54" s="2933" t="s">
        <v>705</v>
      </c>
      <c r="E54" s="182" t="s">
        <v>706</v>
      </c>
      <c r="F54" s="192"/>
      <c r="G54" s="182"/>
      <c r="H54" s="192"/>
      <c r="I54" s="183"/>
      <c r="J54" s="183"/>
      <c r="K54" s="182">
        <f>K55</f>
        <v>630</v>
      </c>
      <c r="L54" s="197">
        <f>SUM(L55:L55)</f>
        <v>1</v>
      </c>
      <c r="M54" s="507"/>
      <c r="N54" s="1220">
        <f>SUM(N55:N55)</f>
        <v>0</v>
      </c>
      <c r="O54" s="2934">
        <f>IF(Q54&gt;0,N54,"na")</f>
        <v>0</v>
      </c>
      <c r="P54" s="505">
        <f>SUM(P55)</f>
        <v>205203819</v>
      </c>
      <c r="Q54" s="505">
        <f t="shared" ref="Q54:S54" si="14">SUM(Q55)</f>
        <v>205203819</v>
      </c>
      <c r="R54" s="505">
        <f t="shared" si="14"/>
        <v>0</v>
      </c>
      <c r="S54" s="505">
        <f t="shared" si="14"/>
        <v>0</v>
      </c>
      <c r="T54" s="1219">
        <f>+IF(Q54=0,0,R54/Q54)</f>
        <v>0</v>
      </c>
      <c r="U54" s="1219">
        <f>+IF(R54=0,0,S54/R54)</f>
        <v>0</v>
      </c>
      <c r="V54" s="507"/>
      <c r="W54" s="507"/>
      <c r="X54" s="1258"/>
      <c r="Y54" s="2929" t="s">
        <v>673</v>
      </c>
    </row>
    <row r="55" spans="1:25" ht="108">
      <c r="A55" s="2935"/>
      <c r="B55" s="192"/>
      <c r="C55" s="2935"/>
      <c r="D55" s="2933"/>
      <c r="E55" s="183" t="s">
        <v>707</v>
      </c>
      <c r="F55" s="192"/>
      <c r="G55" s="183" t="s">
        <v>708</v>
      </c>
      <c r="H55" s="192"/>
      <c r="I55" s="183" t="s">
        <v>709</v>
      </c>
      <c r="J55" s="183" t="s">
        <v>697</v>
      </c>
      <c r="K55" s="182">
        <v>630</v>
      </c>
      <c r="L55" s="197">
        <v>1</v>
      </c>
      <c r="M55" s="507">
        <v>0</v>
      </c>
      <c r="N55" s="1217">
        <f t="shared" si="12"/>
        <v>0</v>
      </c>
      <c r="O55" s="2934"/>
      <c r="P55" s="485">
        <v>205203819</v>
      </c>
      <c r="Q55" s="485">
        <v>205203819</v>
      </c>
      <c r="R55" s="505">
        <v>0</v>
      </c>
      <c r="S55" s="505">
        <v>0</v>
      </c>
      <c r="T55" s="1219">
        <f t="shared" ref="T55:U55" si="15">+IF(Q55=0,0,R55/Q55)</f>
        <v>0</v>
      </c>
      <c r="U55" s="1219">
        <f t="shared" si="15"/>
        <v>0</v>
      </c>
      <c r="V55" s="507"/>
      <c r="W55" s="507"/>
      <c r="X55" s="1258"/>
      <c r="Y55" s="2931"/>
    </row>
    <row r="56" spans="1:25" ht="14.45" customHeight="1">
      <c r="A56" s="192"/>
      <c r="B56" s="192"/>
      <c r="C56" s="192"/>
      <c r="D56" s="183"/>
      <c r="E56" s="183"/>
      <c r="F56" s="192"/>
      <c r="G56" s="183"/>
      <c r="H56" s="192"/>
      <c r="I56" s="183"/>
      <c r="J56" s="183"/>
      <c r="K56" s="182"/>
      <c r="L56" s="197"/>
      <c r="M56" s="507"/>
      <c r="N56" s="1217"/>
      <c r="O56" s="1218"/>
      <c r="P56" s="485"/>
      <c r="Q56" s="485"/>
      <c r="R56" s="505"/>
      <c r="S56" s="505"/>
      <c r="T56" s="1219"/>
      <c r="U56" s="1219"/>
      <c r="V56" s="507"/>
      <c r="W56" s="507"/>
      <c r="X56" s="1258"/>
      <c r="Y56" s="941"/>
    </row>
    <row r="57" spans="1:25">
      <c r="A57" s="2935">
        <v>4133</v>
      </c>
      <c r="B57" s="192"/>
      <c r="C57" s="2935" t="s">
        <v>109</v>
      </c>
      <c r="D57" s="2933" t="s">
        <v>710</v>
      </c>
      <c r="E57" s="182" t="s">
        <v>711</v>
      </c>
      <c r="F57" s="192"/>
      <c r="G57" s="182"/>
      <c r="H57" s="192"/>
      <c r="I57" s="183"/>
      <c r="J57" s="183"/>
      <c r="K57" s="182">
        <f>K58</f>
        <v>838</v>
      </c>
      <c r="L57" s="197">
        <f>SUM(L58:L58)</f>
        <v>1</v>
      </c>
      <c r="M57" s="507"/>
      <c r="N57" s="1220">
        <f>SUM(N58:N58)</f>
        <v>0</v>
      </c>
      <c r="O57" s="2934">
        <f>IF(Q57&gt;0,N57,"na")</f>
        <v>0</v>
      </c>
      <c r="P57" s="505">
        <f>SUM(P58)</f>
        <v>314696673</v>
      </c>
      <c r="Q57" s="505">
        <f t="shared" ref="Q57:S57" si="16">SUM(Q58)</f>
        <v>314696673</v>
      </c>
      <c r="R57" s="505">
        <f t="shared" si="16"/>
        <v>0</v>
      </c>
      <c r="S57" s="505">
        <f t="shared" si="16"/>
        <v>0</v>
      </c>
      <c r="T57" s="1219">
        <f>+IF(Q57=0,0,R57/Q57)</f>
        <v>0</v>
      </c>
      <c r="U57" s="1219">
        <f>+IF(R57=0,0,S57/R57)</f>
        <v>0</v>
      </c>
      <c r="V57" s="507"/>
      <c r="W57" s="507"/>
      <c r="X57" s="1258"/>
      <c r="Y57" s="2929" t="s">
        <v>673</v>
      </c>
    </row>
    <row r="58" spans="1:25" ht="108">
      <c r="A58" s="2935"/>
      <c r="B58" s="192"/>
      <c r="C58" s="2935"/>
      <c r="D58" s="2933"/>
      <c r="E58" s="183" t="s">
        <v>712</v>
      </c>
      <c r="F58" s="192"/>
      <c r="G58" s="183" t="s">
        <v>708</v>
      </c>
      <c r="H58" s="192"/>
      <c r="I58" s="183" t="s">
        <v>713</v>
      </c>
      <c r="J58" s="183" t="s">
        <v>697</v>
      </c>
      <c r="K58" s="182">
        <v>838</v>
      </c>
      <c r="L58" s="197">
        <v>1</v>
      </c>
      <c r="M58" s="507">
        <v>0</v>
      </c>
      <c r="N58" s="1217">
        <f t="shared" si="12"/>
        <v>0</v>
      </c>
      <c r="O58" s="2934"/>
      <c r="P58" s="485">
        <v>314696673</v>
      </c>
      <c r="Q58" s="485">
        <v>314696673</v>
      </c>
      <c r="R58" s="505">
        <v>0</v>
      </c>
      <c r="S58" s="505">
        <v>0</v>
      </c>
      <c r="T58" s="1219">
        <f t="shared" ref="T58:U58" si="17">+IF(Q58=0,0,R58/Q58)</f>
        <v>0</v>
      </c>
      <c r="U58" s="1219">
        <f t="shared" si="17"/>
        <v>0</v>
      </c>
      <c r="V58" s="507"/>
      <c r="W58" s="507"/>
      <c r="X58" s="1258"/>
      <c r="Y58" s="2931"/>
    </row>
    <row r="59" spans="1:25">
      <c r="A59" s="192"/>
      <c r="B59" s="192"/>
      <c r="C59" s="192"/>
      <c r="D59" s="183"/>
      <c r="E59" s="183"/>
      <c r="F59" s="192"/>
      <c r="G59" s="183"/>
      <c r="H59" s="192"/>
      <c r="I59" s="183"/>
      <c r="J59" s="183"/>
      <c r="K59" s="182"/>
      <c r="L59" s="197"/>
      <c r="M59" s="507"/>
      <c r="N59" s="1217"/>
      <c r="O59" s="1218"/>
      <c r="P59" s="485"/>
      <c r="Q59" s="485"/>
      <c r="R59" s="505"/>
      <c r="S59" s="505"/>
      <c r="T59" s="1219"/>
      <c r="U59" s="1219"/>
      <c r="V59" s="507"/>
      <c r="W59" s="507"/>
      <c r="X59" s="1258"/>
      <c r="Y59" s="941"/>
    </row>
    <row r="60" spans="1:25">
      <c r="A60" s="2935">
        <v>4133</v>
      </c>
      <c r="B60" s="192"/>
      <c r="C60" s="2935" t="s">
        <v>109</v>
      </c>
      <c r="D60" s="2933" t="s">
        <v>714</v>
      </c>
      <c r="E60" s="182" t="s">
        <v>715</v>
      </c>
      <c r="F60" s="192"/>
      <c r="G60" s="182"/>
      <c r="H60" s="192"/>
      <c r="I60" s="183"/>
      <c r="J60" s="183"/>
      <c r="K60" s="182">
        <f>K61</f>
        <v>2519</v>
      </c>
      <c r="L60" s="197">
        <f>SUM(L61:L61)</f>
        <v>1</v>
      </c>
      <c r="M60" s="507"/>
      <c r="N60" s="1220">
        <f>SUM(N61:N61)</f>
        <v>0</v>
      </c>
      <c r="O60" s="2934">
        <f>IF(Q60&gt;0,N60,"na")</f>
        <v>0</v>
      </c>
      <c r="P60" s="505">
        <f>SUM(P61)</f>
        <v>608770065</v>
      </c>
      <c r="Q60" s="505">
        <f t="shared" ref="Q60:S60" si="18">SUM(Q61)</f>
        <v>608770065</v>
      </c>
      <c r="R60" s="505">
        <f t="shared" si="18"/>
        <v>0</v>
      </c>
      <c r="S60" s="505">
        <f t="shared" si="18"/>
        <v>0</v>
      </c>
      <c r="T60" s="1219">
        <f>+IF(Q60=0,0,R60/Q60)</f>
        <v>0</v>
      </c>
      <c r="U60" s="1219">
        <f>+IF(R60=0,0,S60/R60)</f>
        <v>0</v>
      </c>
      <c r="V60" s="507"/>
      <c r="W60" s="507"/>
      <c r="X60" s="1258"/>
      <c r="Y60" s="2929" t="s">
        <v>673</v>
      </c>
    </row>
    <row r="61" spans="1:25" ht="108">
      <c r="A61" s="2935"/>
      <c r="B61" s="192"/>
      <c r="C61" s="2935"/>
      <c r="D61" s="2933"/>
      <c r="E61" s="183" t="s">
        <v>716</v>
      </c>
      <c r="F61" s="192"/>
      <c r="G61" s="183" t="s">
        <v>717</v>
      </c>
      <c r="H61" s="192"/>
      <c r="I61" s="183" t="s">
        <v>718</v>
      </c>
      <c r="J61" s="183" t="s">
        <v>697</v>
      </c>
      <c r="K61" s="182">
        <v>2519</v>
      </c>
      <c r="L61" s="197">
        <v>1</v>
      </c>
      <c r="M61" s="507">
        <v>0</v>
      </c>
      <c r="N61" s="1217">
        <f t="shared" si="12"/>
        <v>0</v>
      </c>
      <c r="O61" s="2934"/>
      <c r="P61" s="485">
        <v>608770065</v>
      </c>
      <c r="Q61" s="485">
        <v>608770065</v>
      </c>
      <c r="R61" s="505">
        <v>0</v>
      </c>
      <c r="S61" s="505">
        <v>0</v>
      </c>
      <c r="T61" s="1219">
        <f t="shared" ref="T61:U61" si="19">+IF(Q61=0,0,R61/Q61)</f>
        <v>0</v>
      </c>
      <c r="U61" s="1219">
        <f t="shared" si="19"/>
        <v>0</v>
      </c>
      <c r="V61" s="507"/>
      <c r="W61" s="507"/>
      <c r="X61" s="1258"/>
      <c r="Y61" s="2931"/>
    </row>
    <row r="62" spans="1:25" ht="16.5" customHeight="1">
      <c r="A62" s="192"/>
      <c r="B62" s="192"/>
      <c r="C62" s="192"/>
      <c r="D62" s="183"/>
      <c r="E62" s="183"/>
      <c r="F62" s="192"/>
      <c r="G62" s="183"/>
      <c r="H62" s="192"/>
      <c r="I62" s="183"/>
      <c r="J62" s="183"/>
      <c r="K62" s="182"/>
      <c r="L62" s="197"/>
      <c r="M62" s="507"/>
      <c r="N62" s="1217"/>
      <c r="O62" s="1218"/>
      <c r="P62" s="485"/>
      <c r="Q62" s="485"/>
      <c r="R62" s="505"/>
      <c r="S62" s="505"/>
      <c r="T62" s="1219"/>
      <c r="U62" s="1219"/>
      <c r="V62" s="507"/>
      <c r="W62" s="507"/>
      <c r="X62" s="1258"/>
      <c r="Y62" s="941"/>
    </row>
    <row r="63" spans="1:25">
      <c r="A63" s="2935">
        <v>4133</v>
      </c>
      <c r="B63" s="192"/>
      <c r="C63" s="2935" t="s">
        <v>109</v>
      </c>
      <c r="D63" s="2933" t="s">
        <v>719</v>
      </c>
      <c r="E63" s="182" t="s">
        <v>720</v>
      </c>
      <c r="F63" s="192"/>
      <c r="G63" s="182"/>
      <c r="H63" s="192"/>
      <c r="I63" s="183"/>
      <c r="J63" s="183"/>
      <c r="K63" s="182">
        <f>K64</f>
        <v>8700</v>
      </c>
      <c r="L63" s="197">
        <f>SUM(L64)</f>
        <v>1</v>
      </c>
      <c r="M63" s="507"/>
      <c r="N63" s="1220">
        <f>SUM(N64:N64)</f>
        <v>0</v>
      </c>
      <c r="O63" s="2934">
        <f>IF(Q63&gt;0,N63,"na")</f>
        <v>0</v>
      </c>
      <c r="P63" s="505">
        <f>SUM(P64)</f>
        <v>542044700</v>
      </c>
      <c r="Q63" s="505">
        <f t="shared" ref="Q63:S63" si="20">SUM(Q64)</f>
        <v>542044700</v>
      </c>
      <c r="R63" s="505">
        <f t="shared" si="20"/>
        <v>0</v>
      </c>
      <c r="S63" s="505">
        <f t="shared" si="20"/>
        <v>0</v>
      </c>
      <c r="T63" s="1219">
        <f>+IF(Q63=0,0,R63/Q63)</f>
        <v>0</v>
      </c>
      <c r="U63" s="1219">
        <f>+IF(R63=0,0,S63/R63)</f>
        <v>0</v>
      </c>
      <c r="V63" s="507"/>
      <c r="W63" s="507"/>
      <c r="X63" s="1258"/>
      <c r="Y63" s="2929" t="s">
        <v>673</v>
      </c>
    </row>
    <row r="64" spans="1:25" ht="108">
      <c r="A64" s="2935"/>
      <c r="B64" s="192"/>
      <c r="C64" s="2935"/>
      <c r="D64" s="2933"/>
      <c r="E64" s="183" t="s">
        <v>4834</v>
      </c>
      <c r="F64" s="192"/>
      <c r="G64" s="182" t="s">
        <v>708</v>
      </c>
      <c r="H64" s="192"/>
      <c r="I64" s="183" t="s">
        <v>721</v>
      </c>
      <c r="J64" s="183" t="s">
        <v>722</v>
      </c>
      <c r="K64" s="182">
        <v>8700</v>
      </c>
      <c r="L64" s="197">
        <v>1</v>
      </c>
      <c r="M64" s="507">
        <v>0</v>
      </c>
      <c r="N64" s="1217">
        <f t="shared" si="12"/>
        <v>0</v>
      </c>
      <c r="O64" s="2934"/>
      <c r="P64" s="485">
        <v>542044700</v>
      </c>
      <c r="Q64" s="485">
        <v>542044700</v>
      </c>
      <c r="R64" s="505">
        <v>0</v>
      </c>
      <c r="S64" s="505">
        <v>0</v>
      </c>
      <c r="T64" s="1219">
        <f t="shared" ref="T64:U64" si="21">+IF(Q64=0,0,R64/Q64)</f>
        <v>0</v>
      </c>
      <c r="U64" s="1219">
        <f t="shared" si="21"/>
        <v>0</v>
      </c>
      <c r="V64" s="507"/>
      <c r="W64" s="507"/>
      <c r="X64" s="1258"/>
      <c r="Y64" s="2931"/>
    </row>
    <row r="65" spans="1:25" ht="16.5" customHeight="1">
      <c r="A65" s="192"/>
      <c r="B65" s="192"/>
      <c r="C65" s="192"/>
      <c r="D65" s="183"/>
      <c r="E65" s="183"/>
      <c r="F65" s="192"/>
      <c r="G65" s="182"/>
      <c r="H65" s="192"/>
      <c r="I65" s="183"/>
      <c r="J65" s="183"/>
      <c r="K65" s="182"/>
      <c r="L65" s="197"/>
      <c r="M65" s="507"/>
      <c r="N65" s="1217"/>
      <c r="O65" s="1218"/>
      <c r="P65" s="485"/>
      <c r="Q65" s="485"/>
      <c r="R65" s="505"/>
      <c r="S65" s="505"/>
      <c r="T65" s="1219"/>
      <c r="U65" s="1219"/>
      <c r="V65" s="507"/>
      <c r="W65" s="507"/>
      <c r="X65" s="1258"/>
      <c r="Y65" s="941"/>
    </row>
    <row r="66" spans="1:25" ht="52.9" customHeight="1">
      <c r="A66" s="2935">
        <v>4133</v>
      </c>
      <c r="B66" s="192"/>
      <c r="C66" s="2935" t="s">
        <v>109</v>
      </c>
      <c r="D66" s="2933" t="s">
        <v>723</v>
      </c>
      <c r="E66" s="182" t="s">
        <v>724</v>
      </c>
      <c r="F66" s="192"/>
      <c r="G66" s="182"/>
      <c r="H66" s="192"/>
      <c r="I66" s="183"/>
      <c r="J66" s="183"/>
      <c r="K66" s="182">
        <f>K67</f>
        <v>4700</v>
      </c>
      <c r="L66" s="197">
        <f>SUM(L67:L67)</f>
        <v>1</v>
      </c>
      <c r="M66" s="507"/>
      <c r="N66" s="1220"/>
      <c r="O66" s="2934">
        <f>IF(Q66&gt;0,N66,"na")</f>
        <v>0</v>
      </c>
      <c r="P66" s="505">
        <f>SUM(P67)</f>
        <v>812961055</v>
      </c>
      <c r="Q66" s="505">
        <f t="shared" ref="Q66:S66" si="22">SUM(Q67)</f>
        <v>812961055</v>
      </c>
      <c r="R66" s="505">
        <f t="shared" si="22"/>
        <v>0</v>
      </c>
      <c r="S66" s="505">
        <f t="shared" si="22"/>
        <v>0</v>
      </c>
      <c r="T66" s="1219">
        <f>+IF(Q66=0,0,R66/Q66)</f>
        <v>0</v>
      </c>
      <c r="U66" s="1219">
        <f>+IF(R66=0,0,S66/R66)</f>
        <v>0</v>
      </c>
      <c r="V66" s="507"/>
      <c r="W66" s="507"/>
      <c r="X66" s="1258"/>
      <c r="Y66" s="2929" t="s">
        <v>673</v>
      </c>
    </row>
    <row r="67" spans="1:25" ht="108">
      <c r="A67" s="2935"/>
      <c r="B67" s="192"/>
      <c r="C67" s="2935"/>
      <c r="D67" s="2933"/>
      <c r="E67" s="183" t="s">
        <v>725</v>
      </c>
      <c r="F67" s="192"/>
      <c r="G67" s="183" t="s">
        <v>708</v>
      </c>
      <c r="H67" s="192"/>
      <c r="I67" s="183" t="s">
        <v>726</v>
      </c>
      <c r="J67" s="183" t="s">
        <v>697</v>
      </c>
      <c r="K67" s="182">
        <v>4700</v>
      </c>
      <c r="L67" s="197">
        <v>1</v>
      </c>
      <c r="M67" s="507">
        <v>0</v>
      </c>
      <c r="N67" s="1217">
        <f t="shared" si="12"/>
        <v>0</v>
      </c>
      <c r="O67" s="2934"/>
      <c r="P67" s="485">
        <v>812961055</v>
      </c>
      <c r="Q67" s="485">
        <v>812961055</v>
      </c>
      <c r="R67" s="505">
        <v>0</v>
      </c>
      <c r="S67" s="505">
        <v>0</v>
      </c>
      <c r="T67" s="1219">
        <f t="shared" ref="T67:U67" si="23">+IF(Q67=0,0,R67/Q67)</f>
        <v>0</v>
      </c>
      <c r="U67" s="1219">
        <f t="shared" si="23"/>
        <v>0</v>
      </c>
      <c r="V67" s="507"/>
      <c r="W67" s="507"/>
      <c r="X67" s="1258"/>
      <c r="Y67" s="2931"/>
    </row>
    <row r="68" spans="1:25" ht="16.5" customHeight="1">
      <c r="A68" s="192"/>
      <c r="B68" s="192"/>
      <c r="C68" s="192"/>
      <c r="D68" s="183"/>
      <c r="E68" s="183"/>
      <c r="F68" s="192"/>
      <c r="G68" s="183"/>
      <c r="H68" s="192"/>
      <c r="I68" s="183"/>
      <c r="J68" s="183"/>
      <c r="K68" s="182"/>
      <c r="L68" s="197"/>
      <c r="M68" s="507"/>
      <c r="N68" s="1217"/>
      <c r="O68" s="1218"/>
      <c r="P68" s="485"/>
      <c r="Q68" s="485"/>
      <c r="R68" s="505"/>
      <c r="S68" s="505"/>
      <c r="T68" s="1219"/>
      <c r="U68" s="1219"/>
      <c r="V68" s="507"/>
      <c r="W68" s="507"/>
      <c r="X68" s="1258"/>
      <c r="Y68" s="941"/>
    </row>
    <row r="69" spans="1:25">
      <c r="A69" s="2935">
        <v>4133</v>
      </c>
      <c r="B69" s="192"/>
      <c r="C69" s="2935" t="s">
        <v>109</v>
      </c>
      <c r="D69" s="2933" t="s">
        <v>727</v>
      </c>
      <c r="E69" s="182" t="s">
        <v>728</v>
      </c>
      <c r="F69" s="192"/>
      <c r="G69" s="182"/>
      <c r="H69" s="192"/>
      <c r="I69" s="183"/>
      <c r="J69" s="183"/>
      <c r="K69" s="182">
        <f>K70</f>
        <v>6088</v>
      </c>
      <c r="L69" s="197">
        <f>SUM(L70:L70)</f>
        <v>1</v>
      </c>
      <c r="M69" s="507"/>
      <c r="N69" s="1220">
        <f>SUM(N70:N70)</f>
        <v>0</v>
      </c>
      <c r="O69" s="2934">
        <f>IF(Q69&gt;0,N69,"na")</f>
        <v>0</v>
      </c>
      <c r="P69" s="505">
        <f>SUM(P70)</f>
        <v>1034413361</v>
      </c>
      <c r="Q69" s="505">
        <f t="shared" ref="Q69:S69" si="24">SUM(Q70)</f>
        <v>1034413361</v>
      </c>
      <c r="R69" s="505">
        <f t="shared" si="24"/>
        <v>0</v>
      </c>
      <c r="S69" s="505">
        <f t="shared" si="24"/>
        <v>0</v>
      </c>
      <c r="T69" s="1219">
        <f>+IF(Q69=0,0,R69/Q69)</f>
        <v>0</v>
      </c>
      <c r="U69" s="1219">
        <f>+IF(R69=0,0,S69/R69)</f>
        <v>0</v>
      </c>
      <c r="V69" s="507"/>
      <c r="W69" s="507"/>
      <c r="X69" s="1258"/>
      <c r="Y69" s="2929" t="s">
        <v>673</v>
      </c>
    </row>
    <row r="70" spans="1:25" ht="40.5">
      <c r="A70" s="2935"/>
      <c r="B70" s="192"/>
      <c r="C70" s="2935"/>
      <c r="D70" s="2933"/>
      <c r="E70" s="183" t="s">
        <v>729</v>
      </c>
      <c r="F70" s="355"/>
      <c r="G70" s="183" t="s">
        <v>696</v>
      </c>
      <c r="H70" s="355"/>
      <c r="I70" s="183" t="s">
        <v>730</v>
      </c>
      <c r="J70" s="183" t="s">
        <v>697</v>
      </c>
      <c r="K70" s="489">
        <v>6088</v>
      </c>
      <c r="L70" s="487">
        <v>1</v>
      </c>
      <c r="M70" s="507">
        <v>0</v>
      </c>
      <c r="N70" s="1217">
        <f t="shared" si="12"/>
        <v>0</v>
      </c>
      <c r="O70" s="2934"/>
      <c r="P70" s="485">
        <v>1034413361</v>
      </c>
      <c r="Q70" s="485">
        <v>1034413361</v>
      </c>
      <c r="R70" s="505">
        <v>0</v>
      </c>
      <c r="S70" s="505">
        <v>0</v>
      </c>
      <c r="T70" s="1219">
        <f t="shared" ref="T70:U70" si="25">+IF(Q70=0,0,R70/Q70)</f>
        <v>0</v>
      </c>
      <c r="U70" s="1219">
        <f t="shared" si="25"/>
        <v>0</v>
      </c>
      <c r="V70" s="507"/>
      <c r="W70" s="507"/>
      <c r="X70" s="1258"/>
      <c r="Y70" s="2931"/>
    </row>
    <row r="71" spans="1:25" ht="16.5" customHeight="1">
      <c r="A71" s="192"/>
      <c r="B71" s="192"/>
      <c r="C71" s="192"/>
      <c r="D71" s="183"/>
      <c r="E71" s="183"/>
      <c r="F71" s="355"/>
      <c r="G71" s="183"/>
      <c r="H71" s="355"/>
      <c r="I71" s="183"/>
      <c r="J71" s="183"/>
      <c r="K71" s="489"/>
      <c r="L71" s="487"/>
      <c r="M71" s="507"/>
      <c r="N71" s="1217"/>
      <c r="O71" s="1218"/>
      <c r="P71" s="485"/>
      <c r="Q71" s="485"/>
      <c r="R71" s="505"/>
      <c r="S71" s="505"/>
      <c r="T71" s="1219"/>
      <c r="U71" s="1219"/>
      <c r="V71" s="507"/>
      <c r="W71" s="507"/>
      <c r="X71" s="1258"/>
      <c r="Y71" s="941"/>
    </row>
    <row r="72" spans="1:25">
      <c r="A72" s="2935">
        <v>4133</v>
      </c>
      <c r="B72" s="192"/>
      <c r="C72" s="2935" t="s">
        <v>109</v>
      </c>
      <c r="D72" s="2933" t="s">
        <v>731</v>
      </c>
      <c r="E72" s="182" t="s">
        <v>732</v>
      </c>
      <c r="F72" s="192"/>
      <c r="G72" s="182"/>
      <c r="H72" s="192"/>
      <c r="I72" s="183"/>
      <c r="J72" s="183"/>
      <c r="K72" s="182">
        <f>K73</f>
        <v>15700</v>
      </c>
      <c r="L72" s="197">
        <f>SUM(L73:L73)</f>
        <v>1</v>
      </c>
      <c r="M72" s="507"/>
      <c r="N72" s="1220">
        <f>SUM(N73:N73)</f>
        <v>0</v>
      </c>
      <c r="O72" s="2934">
        <f>IF(Q72&gt;0,N72,"na")</f>
        <v>0</v>
      </c>
      <c r="P72" s="505">
        <f>SUM(P73)</f>
        <v>842407577</v>
      </c>
      <c r="Q72" s="505">
        <f t="shared" ref="Q72:S72" si="26">SUM(Q73)</f>
        <v>842407577</v>
      </c>
      <c r="R72" s="505">
        <f t="shared" si="26"/>
        <v>0</v>
      </c>
      <c r="S72" s="505">
        <f t="shared" si="26"/>
        <v>0</v>
      </c>
      <c r="T72" s="1219">
        <f>+IF(Q72=0,0,R72/Q72)</f>
        <v>0</v>
      </c>
      <c r="U72" s="1219">
        <f>+IF(R72=0,0,S72/R72)</f>
        <v>0</v>
      </c>
      <c r="V72" s="507"/>
      <c r="W72" s="507"/>
      <c r="X72" s="1258"/>
      <c r="Y72" s="2929" t="s">
        <v>673</v>
      </c>
    </row>
    <row r="73" spans="1:25" ht="54">
      <c r="A73" s="2935"/>
      <c r="B73" s="192"/>
      <c r="C73" s="2935"/>
      <c r="D73" s="2933"/>
      <c r="E73" s="183" t="s">
        <v>733</v>
      </c>
      <c r="F73" s="355"/>
      <c r="G73" s="183" t="s">
        <v>696</v>
      </c>
      <c r="H73" s="355"/>
      <c r="I73" s="183" t="s">
        <v>4835</v>
      </c>
      <c r="J73" s="183" t="s">
        <v>699</v>
      </c>
      <c r="K73" s="489">
        <v>15700</v>
      </c>
      <c r="L73" s="487">
        <v>1</v>
      </c>
      <c r="M73" s="507">
        <v>0</v>
      </c>
      <c r="N73" s="1217">
        <f t="shared" si="12"/>
        <v>0</v>
      </c>
      <c r="O73" s="2934"/>
      <c r="P73" s="485">
        <v>842407577</v>
      </c>
      <c r="Q73" s="485">
        <v>842407577</v>
      </c>
      <c r="R73" s="505">
        <v>0</v>
      </c>
      <c r="S73" s="505">
        <v>0</v>
      </c>
      <c r="T73" s="1219">
        <f t="shared" ref="T73:U73" si="27">+IF(Q73=0,0,R73/Q73)</f>
        <v>0</v>
      </c>
      <c r="U73" s="1219">
        <f t="shared" si="27"/>
        <v>0</v>
      </c>
      <c r="V73" s="507"/>
      <c r="W73" s="507"/>
      <c r="X73" s="1258"/>
      <c r="Y73" s="2931"/>
    </row>
    <row r="74" spans="1:25">
      <c r="A74" s="507"/>
      <c r="B74" s="1246">
        <v>53</v>
      </c>
      <c r="C74" s="1246" t="s">
        <v>100</v>
      </c>
      <c r="D74" s="1249" t="s">
        <v>175</v>
      </c>
      <c r="E74" s="513"/>
      <c r="F74" s="507"/>
      <c r="G74" s="507"/>
      <c r="H74" s="507"/>
      <c r="I74" s="507"/>
      <c r="J74" s="507"/>
      <c r="K74" s="507"/>
      <c r="L74" s="507"/>
      <c r="M74" s="507"/>
      <c r="N74" s="1220"/>
      <c r="O74" s="1220"/>
      <c r="P74" s="505"/>
      <c r="Q74" s="505"/>
      <c r="R74" s="505"/>
      <c r="S74" s="505"/>
      <c r="T74" s="1219"/>
      <c r="U74" s="1219"/>
      <c r="V74" s="506"/>
      <c r="W74" s="507"/>
      <c r="X74" s="1258"/>
      <c r="Y74" s="508"/>
    </row>
    <row r="75" spans="1:25" ht="16.5" customHeight="1">
      <c r="A75" s="507"/>
      <c r="B75" s="1246">
        <v>5301</v>
      </c>
      <c r="C75" s="1246" t="s">
        <v>101</v>
      </c>
      <c r="D75" s="1247" t="s">
        <v>248</v>
      </c>
      <c r="E75" s="513"/>
      <c r="F75" s="507"/>
      <c r="G75" s="507"/>
      <c r="H75" s="507"/>
      <c r="I75" s="507"/>
      <c r="J75" s="507"/>
      <c r="K75" s="507"/>
      <c r="L75" s="507"/>
      <c r="M75" s="507"/>
      <c r="N75" s="1220"/>
      <c r="O75" s="1220"/>
      <c r="P75" s="505"/>
      <c r="Q75" s="505"/>
      <c r="R75" s="505"/>
      <c r="S75" s="505"/>
      <c r="T75" s="1219"/>
      <c r="U75" s="1219"/>
      <c r="V75" s="506"/>
      <c r="W75" s="507"/>
      <c r="X75" s="1258"/>
      <c r="Y75" s="508"/>
    </row>
    <row r="76" spans="1:25" ht="52.9" customHeight="1">
      <c r="A76" s="507"/>
      <c r="B76" s="1246">
        <v>5301001</v>
      </c>
      <c r="C76" s="1246" t="s">
        <v>102</v>
      </c>
      <c r="D76" s="1247" t="s">
        <v>734</v>
      </c>
      <c r="E76" s="513"/>
      <c r="F76" s="507"/>
      <c r="G76" s="507"/>
      <c r="H76" s="507"/>
      <c r="I76" s="507"/>
      <c r="J76" s="507"/>
      <c r="K76" s="507"/>
      <c r="L76" s="507"/>
      <c r="M76" s="507"/>
      <c r="N76" s="1220"/>
      <c r="O76" s="1220"/>
      <c r="P76" s="505"/>
      <c r="Q76" s="505"/>
      <c r="R76" s="505"/>
      <c r="S76" s="505"/>
      <c r="T76" s="1219"/>
      <c r="U76" s="1219"/>
      <c r="V76" s="506"/>
      <c r="W76" s="507"/>
      <c r="X76" s="1258"/>
      <c r="Y76" s="508"/>
    </row>
    <row r="77" spans="1:25" ht="40.5">
      <c r="A77" s="507"/>
      <c r="B77" s="504">
        <v>53010010002</v>
      </c>
      <c r="C77" s="504" t="s">
        <v>103</v>
      </c>
      <c r="D77" s="507" t="s">
        <v>735</v>
      </c>
      <c r="E77" s="513"/>
      <c r="F77" s="507"/>
      <c r="G77" s="507"/>
      <c r="H77" s="558"/>
      <c r="I77" s="507"/>
      <c r="J77" s="507"/>
      <c r="K77" s="507"/>
      <c r="L77" s="507"/>
      <c r="M77" s="507"/>
      <c r="N77" s="1220"/>
      <c r="O77" s="1220"/>
      <c r="P77" s="505"/>
      <c r="Q77" s="505"/>
      <c r="R77" s="505"/>
      <c r="S77" s="505"/>
      <c r="T77" s="1219"/>
      <c r="U77" s="1219"/>
      <c r="V77" s="506"/>
      <c r="W77" s="507"/>
      <c r="X77" s="1258"/>
      <c r="Y77" s="508"/>
    </row>
    <row r="78" spans="1:25">
      <c r="A78" s="2935">
        <v>4133</v>
      </c>
      <c r="B78" s="192"/>
      <c r="C78" s="2935" t="s">
        <v>109</v>
      </c>
      <c r="D78" s="2933" t="s">
        <v>736</v>
      </c>
      <c r="E78" s="182" t="s">
        <v>737</v>
      </c>
      <c r="F78" s="355"/>
      <c r="G78" s="353"/>
      <c r="H78" s="356"/>
      <c r="I78" s="353"/>
      <c r="J78" s="355"/>
      <c r="K78" s="489">
        <f>K79</f>
        <v>2245</v>
      </c>
      <c r="L78" s="487">
        <f>SUM(L79:L80)</f>
        <v>1</v>
      </c>
      <c r="M78" s="507"/>
      <c r="N78" s="1220">
        <f>SUM(N79:N80)</f>
        <v>0.77894342984409803</v>
      </c>
      <c r="O78" s="2934">
        <f>IF(Q78&gt;0,N78,"na")</f>
        <v>0.77894342984409803</v>
      </c>
      <c r="P78" s="505">
        <f>SUM(P79:P80)</f>
        <v>4060227495</v>
      </c>
      <c r="Q78" s="505">
        <f t="shared" ref="Q78:S78" si="28">SUM(Q79:Q80)</f>
        <v>5510227495</v>
      </c>
      <c r="R78" s="505">
        <f t="shared" si="28"/>
        <v>2298375861</v>
      </c>
      <c r="S78" s="505">
        <f t="shared" si="28"/>
        <v>257095000</v>
      </c>
      <c r="T78" s="1219">
        <f>+IF(Q78=0,0,R78/Q78)</f>
        <v>0.41711088391278844</v>
      </c>
      <c r="U78" s="1219">
        <f>+IF(R78=0,0,S78/R78)</f>
        <v>0.1118594240230754</v>
      </c>
      <c r="V78" s="506"/>
      <c r="W78" s="507"/>
      <c r="X78" s="1258"/>
      <c r="Y78" s="2929" t="s">
        <v>673</v>
      </c>
    </row>
    <row r="79" spans="1:25" ht="108">
      <c r="A79" s="2935"/>
      <c r="B79" s="192"/>
      <c r="C79" s="2935"/>
      <c r="D79" s="2933"/>
      <c r="E79" s="183" t="s">
        <v>738</v>
      </c>
      <c r="F79" s="355"/>
      <c r="G79" s="182" t="s">
        <v>739</v>
      </c>
      <c r="H79" s="355"/>
      <c r="I79" s="183" t="s">
        <v>4836</v>
      </c>
      <c r="J79" s="183" t="s">
        <v>740</v>
      </c>
      <c r="K79" s="489">
        <v>2245</v>
      </c>
      <c r="L79" s="487">
        <v>0.9</v>
      </c>
      <c r="M79" s="507">
        <v>1543.92</v>
      </c>
      <c r="N79" s="1217">
        <f>(M79/K79)*L79</f>
        <v>0.618943429844098</v>
      </c>
      <c r="O79" s="2934"/>
      <c r="P79" s="485">
        <v>3547582313</v>
      </c>
      <c r="Q79" s="485">
        <v>4847582313</v>
      </c>
      <c r="R79" s="505">
        <v>2244861609</v>
      </c>
      <c r="S79" s="505">
        <v>223968000</v>
      </c>
      <c r="T79" s="1219">
        <f t="shared" ref="T79:U80" si="29">+IF(Q79=0,0,R79/Q79)</f>
        <v>0.46308890990460216</v>
      </c>
      <c r="U79" s="1219">
        <f t="shared" si="29"/>
        <v>9.9769179134284888E-2</v>
      </c>
      <c r="V79" s="506">
        <v>45319</v>
      </c>
      <c r="W79" s="506">
        <v>45657</v>
      </c>
      <c r="X79" s="1258" t="s">
        <v>4837</v>
      </c>
      <c r="Y79" s="2930"/>
    </row>
    <row r="80" spans="1:25" ht="16.5" customHeight="1">
      <c r="A80" s="2935"/>
      <c r="B80" s="192"/>
      <c r="C80" s="2935"/>
      <c r="D80" s="2933"/>
      <c r="E80" s="182" t="s">
        <v>741</v>
      </c>
      <c r="F80" s="355"/>
      <c r="G80" s="353"/>
      <c r="H80" s="355"/>
      <c r="I80" s="183" t="s">
        <v>4838</v>
      </c>
      <c r="J80" s="183" t="s">
        <v>679</v>
      </c>
      <c r="K80" s="489">
        <v>300</v>
      </c>
      <c r="L80" s="487">
        <v>0.1</v>
      </c>
      <c r="M80" s="507">
        <v>12</v>
      </c>
      <c r="N80" s="1217">
        <v>0.16</v>
      </c>
      <c r="O80" s="2934"/>
      <c r="P80" s="485">
        <v>512645182</v>
      </c>
      <c r="Q80" s="485">
        <v>662645182</v>
      </c>
      <c r="R80" s="505">
        <v>53514252</v>
      </c>
      <c r="S80" s="505">
        <v>33127000</v>
      </c>
      <c r="T80" s="1219">
        <f t="shared" si="29"/>
        <v>8.0758531795980068E-2</v>
      </c>
      <c r="U80" s="1219">
        <f t="shared" si="29"/>
        <v>0.61903135635718121</v>
      </c>
      <c r="V80" s="506">
        <v>45317</v>
      </c>
      <c r="W80" s="506">
        <v>45657</v>
      </c>
      <c r="X80" s="1258" t="s">
        <v>4839</v>
      </c>
      <c r="Y80" s="2931"/>
    </row>
    <row r="81" spans="1:25" ht="66" customHeight="1">
      <c r="A81" s="192"/>
      <c r="B81" s="192"/>
      <c r="C81" s="192"/>
      <c r="D81" s="183"/>
      <c r="E81" s="182"/>
      <c r="F81" s="355"/>
      <c r="G81" s="353"/>
      <c r="H81" s="355"/>
      <c r="I81" s="183"/>
      <c r="J81" s="183"/>
      <c r="K81" s="489"/>
      <c r="L81" s="487"/>
      <c r="M81" s="507"/>
      <c r="N81" s="1217"/>
      <c r="O81" s="1218"/>
      <c r="P81" s="485"/>
      <c r="Q81" s="485"/>
      <c r="R81" s="505"/>
      <c r="S81" s="505"/>
      <c r="T81" s="1219"/>
      <c r="U81" s="1219"/>
      <c r="V81" s="506"/>
      <c r="W81" s="506"/>
      <c r="X81" s="1258"/>
      <c r="Y81" s="941"/>
    </row>
    <row r="82" spans="1:25">
      <c r="A82" s="2935">
        <v>4133</v>
      </c>
      <c r="B82" s="192"/>
      <c r="C82" s="2935" t="s">
        <v>109</v>
      </c>
      <c r="D82" s="2933" t="s">
        <v>742</v>
      </c>
      <c r="E82" s="182" t="s">
        <v>743</v>
      </c>
      <c r="F82" s="355"/>
      <c r="G82" s="353"/>
      <c r="H82" s="356"/>
      <c r="I82" s="353"/>
      <c r="J82" s="355"/>
      <c r="K82" s="489">
        <f>+K83</f>
        <v>2176.65</v>
      </c>
      <c r="L82" s="487">
        <f>SUM(L83:L84)</f>
        <v>1</v>
      </c>
      <c r="M82" s="507"/>
      <c r="N82" s="1220">
        <f>SUM(N83:N84)</f>
        <v>0.89958167955226165</v>
      </c>
      <c r="O82" s="2934">
        <f>IF(Q82&gt;0,N82,"na")</f>
        <v>0.89958167955226165</v>
      </c>
      <c r="P82" s="505">
        <f>SUM(P83:P84)</f>
        <v>4562801987</v>
      </c>
      <c r="Q82" s="505">
        <f t="shared" ref="Q82:S82" si="30">SUM(Q83:Q84)</f>
        <v>4562801987</v>
      </c>
      <c r="R82" s="505">
        <f t="shared" si="30"/>
        <v>1487931000</v>
      </c>
      <c r="S82" s="505">
        <f t="shared" si="30"/>
        <v>715371500</v>
      </c>
      <c r="T82" s="1219">
        <f>+IF(Q82=0,0,R82/Q82)</f>
        <v>0.32610027878468179</v>
      </c>
      <c r="U82" s="1219">
        <f>+IF(R82=0,0,S82/R82)</f>
        <v>0.48078271102625053</v>
      </c>
      <c r="V82" s="506"/>
      <c r="W82" s="507"/>
      <c r="X82" s="1258"/>
      <c r="Y82" s="2929" t="s">
        <v>673</v>
      </c>
    </row>
    <row r="83" spans="1:25" ht="94.5">
      <c r="A83" s="2935"/>
      <c r="B83" s="192"/>
      <c r="C83" s="2935"/>
      <c r="D83" s="2933"/>
      <c r="E83" s="182" t="s">
        <v>744</v>
      </c>
      <c r="F83" s="355"/>
      <c r="G83" s="2933" t="s">
        <v>745</v>
      </c>
      <c r="H83" s="355"/>
      <c r="I83" s="183" t="s">
        <v>746</v>
      </c>
      <c r="J83" s="183" t="s">
        <v>747</v>
      </c>
      <c r="K83" s="489">
        <v>2176.65</v>
      </c>
      <c r="L83" s="487">
        <v>0.71</v>
      </c>
      <c r="M83" s="507">
        <v>2176.65</v>
      </c>
      <c r="N83" s="1217">
        <f t="shared" ref="N83:N84" si="31">(M83/K83)*L83</f>
        <v>0.71</v>
      </c>
      <c r="O83" s="2934"/>
      <c r="P83" s="485">
        <v>2978255130</v>
      </c>
      <c r="Q83" s="485">
        <v>2911565493</v>
      </c>
      <c r="R83" s="505">
        <v>802277500</v>
      </c>
      <c r="S83" s="505">
        <v>421304000</v>
      </c>
      <c r="T83" s="1219">
        <f t="shared" ref="T83:U84" si="32">+IF(Q83=0,0,R83/Q83)</f>
        <v>0.27554849854102181</v>
      </c>
      <c r="U83" s="1219">
        <f t="shared" si="32"/>
        <v>0.52513500627899945</v>
      </c>
      <c r="V83" s="506">
        <v>45317</v>
      </c>
      <c r="W83" s="506">
        <v>45657</v>
      </c>
      <c r="X83" s="1258" t="s">
        <v>4840</v>
      </c>
      <c r="Y83" s="2930"/>
    </row>
    <row r="84" spans="1:25" ht="94.5">
      <c r="A84" s="2935"/>
      <c r="B84" s="192"/>
      <c r="C84" s="2935"/>
      <c r="D84" s="2933"/>
      <c r="E84" s="182" t="s">
        <v>748</v>
      </c>
      <c r="F84" s="355"/>
      <c r="G84" s="2971"/>
      <c r="H84" s="355"/>
      <c r="I84" s="183" t="s">
        <v>749</v>
      </c>
      <c r="J84" s="183" t="s">
        <v>750</v>
      </c>
      <c r="K84" s="489">
        <v>1499.09</v>
      </c>
      <c r="L84" s="487">
        <v>0.28999999999999998</v>
      </c>
      <c r="M84" s="507">
        <v>980</v>
      </c>
      <c r="N84" s="1217">
        <f t="shared" si="31"/>
        <v>0.18958167955226171</v>
      </c>
      <c r="O84" s="2934"/>
      <c r="P84" s="485">
        <v>1584546857</v>
      </c>
      <c r="Q84" s="485">
        <v>1651236494</v>
      </c>
      <c r="R84" s="505">
        <v>685653500</v>
      </c>
      <c r="S84" s="505">
        <v>294067500</v>
      </c>
      <c r="T84" s="1219">
        <f t="shared" si="32"/>
        <v>0.41523640162473296</v>
      </c>
      <c r="U84" s="1219">
        <f t="shared" si="32"/>
        <v>0.42888645649734158</v>
      </c>
      <c r="V84" s="506">
        <v>45318</v>
      </c>
      <c r="W84" s="506">
        <v>45657</v>
      </c>
      <c r="X84" s="1258" t="s">
        <v>4841</v>
      </c>
      <c r="Y84" s="2931"/>
    </row>
    <row r="85" spans="1:25">
      <c r="A85" s="192"/>
      <c r="B85" s="192"/>
      <c r="C85" s="192"/>
      <c r="D85" s="183"/>
      <c r="E85" s="182"/>
      <c r="F85" s="355"/>
      <c r="G85" s="590"/>
      <c r="H85" s="355"/>
      <c r="I85" s="183"/>
      <c r="J85" s="183"/>
      <c r="K85" s="489"/>
      <c r="L85" s="487"/>
      <c r="M85" s="507"/>
      <c r="N85" s="1217"/>
      <c r="O85" s="1218"/>
      <c r="P85" s="485"/>
      <c r="Q85" s="485"/>
      <c r="R85" s="505"/>
      <c r="S85" s="505"/>
      <c r="T85" s="1219"/>
      <c r="U85" s="1219"/>
      <c r="V85" s="506"/>
      <c r="W85" s="506"/>
      <c r="X85" s="1258"/>
      <c r="Y85" s="941"/>
    </row>
    <row r="86" spans="1:25" ht="14.45" customHeight="1">
      <c r="A86" s="2935">
        <v>4133</v>
      </c>
      <c r="B86" s="192"/>
      <c r="C86" s="2935" t="s">
        <v>109</v>
      </c>
      <c r="D86" s="2933" t="s">
        <v>751</v>
      </c>
      <c r="E86" s="182" t="s">
        <v>752</v>
      </c>
      <c r="F86" s="192"/>
      <c r="G86" s="182"/>
      <c r="H86" s="192"/>
      <c r="I86" s="183"/>
      <c r="J86" s="183"/>
      <c r="K86" s="182">
        <f>+K88</f>
        <v>5.5</v>
      </c>
      <c r="L86" s="197">
        <f>SUM(L87:L88)</f>
        <v>1</v>
      </c>
      <c r="M86" s="507"/>
      <c r="N86" s="1220">
        <f>SUM(N87:N88)</f>
        <v>0</v>
      </c>
      <c r="O86" s="2934">
        <f>IF(Q86&gt;0,N86,"na")</f>
        <v>0</v>
      </c>
      <c r="P86" s="505">
        <f>SUM(P87:P88)</f>
        <v>88000000</v>
      </c>
      <c r="Q86" s="505">
        <f t="shared" ref="Q86:S86" si="33">SUM(Q87:Q88)</f>
        <v>113558624</v>
      </c>
      <c r="R86" s="505">
        <f t="shared" si="33"/>
        <v>25558624</v>
      </c>
      <c r="S86" s="505">
        <f t="shared" si="33"/>
        <v>0</v>
      </c>
      <c r="T86" s="1219">
        <f>+IF(Q86=0,0,R86/Q86)</f>
        <v>0.22506986347421751</v>
      </c>
      <c r="U86" s="1219">
        <f>+IF(R86=0,0,S86/R86)</f>
        <v>0</v>
      </c>
      <c r="V86" s="507"/>
      <c r="W86" s="507"/>
      <c r="X86" s="1258"/>
      <c r="Y86" s="2929" t="s">
        <v>673</v>
      </c>
    </row>
    <row r="87" spans="1:25" ht="81">
      <c r="A87" s="2935"/>
      <c r="B87" s="192"/>
      <c r="C87" s="2935"/>
      <c r="D87" s="2933"/>
      <c r="E87" s="182" t="s">
        <v>753</v>
      </c>
      <c r="F87" s="192"/>
      <c r="G87" s="182"/>
      <c r="H87" s="192"/>
      <c r="I87" s="183" t="s">
        <v>754</v>
      </c>
      <c r="J87" s="183" t="s">
        <v>254</v>
      </c>
      <c r="K87" s="182">
        <v>70</v>
      </c>
      <c r="L87" s="197">
        <v>0.32</v>
      </c>
      <c r="M87" s="507">
        <v>0</v>
      </c>
      <c r="N87" s="1217">
        <f t="shared" ref="N87:N88" si="34">(M87/K87)*L87</f>
        <v>0</v>
      </c>
      <c r="O87" s="2934"/>
      <c r="P87" s="485">
        <v>28427100</v>
      </c>
      <c r="Q87" s="485">
        <v>53985724</v>
      </c>
      <c r="R87" s="505">
        <v>25558624</v>
      </c>
      <c r="S87" s="505">
        <v>0</v>
      </c>
      <c r="T87" s="1219">
        <f>+IF(Q87=0,0,R87/Q87)</f>
        <v>0.47343301351297984</v>
      </c>
      <c r="U87" s="1219">
        <f t="shared" ref="T87:U88" si="35">+IF(R87=0,0,S87/R87)</f>
        <v>0</v>
      </c>
      <c r="V87" s="507"/>
      <c r="W87" s="507"/>
      <c r="X87" s="1258"/>
      <c r="Y87" s="2930"/>
    </row>
    <row r="88" spans="1:25" ht="148.5">
      <c r="A88" s="2935"/>
      <c r="B88" s="192"/>
      <c r="C88" s="2935"/>
      <c r="D88" s="2933"/>
      <c r="E88" s="182" t="s">
        <v>755</v>
      </c>
      <c r="F88" s="192"/>
      <c r="G88" s="182" t="s">
        <v>756</v>
      </c>
      <c r="H88" s="192"/>
      <c r="I88" s="183" t="s">
        <v>757</v>
      </c>
      <c r="J88" s="183" t="s">
        <v>758</v>
      </c>
      <c r="K88" s="182">
        <v>5.5</v>
      </c>
      <c r="L88" s="197">
        <v>0.68</v>
      </c>
      <c r="M88" s="507">
        <v>0</v>
      </c>
      <c r="N88" s="1217">
        <f t="shared" si="34"/>
        <v>0</v>
      </c>
      <c r="O88" s="2934"/>
      <c r="P88" s="485">
        <v>59572900</v>
      </c>
      <c r="Q88" s="485">
        <v>59572900</v>
      </c>
      <c r="R88" s="505">
        <v>0</v>
      </c>
      <c r="S88" s="505">
        <v>0</v>
      </c>
      <c r="T88" s="1219">
        <f t="shared" si="35"/>
        <v>0</v>
      </c>
      <c r="U88" s="1219">
        <f>+IF(R88=0,0,S88/R88)</f>
        <v>0</v>
      </c>
      <c r="V88" s="507"/>
      <c r="W88" s="507"/>
      <c r="X88" s="1258"/>
      <c r="Y88" s="2931"/>
    </row>
    <row r="89" spans="1:25" ht="16.5" customHeight="1">
      <c r="A89" s="192"/>
      <c r="B89" s="192"/>
      <c r="C89" s="192"/>
      <c r="D89" s="183"/>
      <c r="E89" s="182"/>
      <c r="F89" s="192"/>
      <c r="G89" s="182"/>
      <c r="H89" s="192"/>
      <c r="I89" s="183"/>
      <c r="J89" s="183"/>
      <c r="K89" s="182"/>
      <c r="L89" s="197"/>
      <c r="M89" s="507"/>
      <c r="N89" s="1217"/>
      <c r="O89" s="1218"/>
      <c r="P89" s="485"/>
      <c r="Q89" s="485"/>
      <c r="R89" s="505"/>
      <c r="S89" s="505"/>
      <c r="T89" s="1219"/>
      <c r="U89" s="1219"/>
      <c r="V89" s="507"/>
      <c r="W89" s="507"/>
      <c r="X89" s="1258"/>
      <c r="Y89" s="941"/>
    </row>
    <row r="90" spans="1:25" ht="81" customHeight="1">
      <c r="A90" s="2935">
        <v>4133</v>
      </c>
      <c r="B90" s="192"/>
      <c r="C90" s="2935" t="s">
        <v>109</v>
      </c>
      <c r="D90" s="2933" t="s">
        <v>759</v>
      </c>
      <c r="E90" s="182" t="s">
        <v>760</v>
      </c>
      <c r="F90" s="192"/>
      <c r="G90" s="182"/>
      <c r="H90" s="192"/>
      <c r="I90" s="183"/>
      <c r="J90" s="183"/>
      <c r="K90" s="182">
        <v>2</v>
      </c>
      <c r="L90" s="197">
        <f>SUM(L91:L92)</f>
        <v>1</v>
      </c>
      <c r="M90" s="507"/>
      <c r="N90" s="1220">
        <f>SUM(N91:N92)</f>
        <v>0</v>
      </c>
      <c r="O90" s="2934">
        <f>IF(Q90&gt;0,N90,"na")</f>
        <v>0</v>
      </c>
      <c r="P90" s="505">
        <f>SUM(P91:P92)</f>
        <v>71517500</v>
      </c>
      <c r="Q90" s="505">
        <f t="shared" ref="Q90:S90" si="36">SUM(Q91:Q92)</f>
        <v>71517500</v>
      </c>
      <c r="R90" s="505">
        <f t="shared" si="36"/>
        <v>0</v>
      </c>
      <c r="S90" s="505">
        <f t="shared" si="36"/>
        <v>0</v>
      </c>
      <c r="T90" s="1219">
        <f>+IF(Q90=0,0,R90/Q90)</f>
        <v>0</v>
      </c>
      <c r="U90" s="1219">
        <f>+IF(R90=0,0,S90/R90)</f>
        <v>0</v>
      </c>
      <c r="V90" s="507"/>
      <c r="W90" s="507"/>
      <c r="X90" s="1258"/>
      <c r="Y90" s="2929" t="s">
        <v>673</v>
      </c>
    </row>
    <row r="91" spans="1:25" ht="148.5">
      <c r="A91" s="2935"/>
      <c r="B91" s="192"/>
      <c r="C91" s="2935"/>
      <c r="D91" s="2933"/>
      <c r="E91" s="182" t="s">
        <v>761</v>
      </c>
      <c r="F91" s="192"/>
      <c r="G91" s="182" t="s">
        <v>756</v>
      </c>
      <c r="H91" s="192"/>
      <c r="I91" s="183" t="s">
        <v>762</v>
      </c>
      <c r="J91" s="183" t="s">
        <v>763</v>
      </c>
      <c r="K91" s="182">
        <v>2</v>
      </c>
      <c r="L91" s="197">
        <v>0.5</v>
      </c>
      <c r="M91" s="507">
        <v>0</v>
      </c>
      <c r="N91" s="1217">
        <f t="shared" ref="N91:N92" si="37">(M91/K91)*L91</f>
        <v>0</v>
      </c>
      <c r="O91" s="2934"/>
      <c r="P91" s="485">
        <v>67767500</v>
      </c>
      <c r="Q91" s="485">
        <v>67767500</v>
      </c>
      <c r="R91" s="505">
        <v>0</v>
      </c>
      <c r="S91" s="505">
        <v>0</v>
      </c>
      <c r="T91" s="1219">
        <f t="shared" ref="T91:U92" si="38">+IF(Q91=0,0,R91/Q91)</f>
        <v>0</v>
      </c>
      <c r="U91" s="1219">
        <f t="shared" si="38"/>
        <v>0</v>
      </c>
      <c r="V91" s="507"/>
      <c r="W91" s="507"/>
      <c r="X91" s="1258"/>
      <c r="Y91" s="2930"/>
    </row>
    <row r="92" spans="1:25" ht="81" customHeight="1">
      <c r="A92" s="2935"/>
      <c r="B92" s="192"/>
      <c r="C92" s="2935"/>
      <c r="D92" s="2933"/>
      <c r="E92" s="182" t="s">
        <v>764</v>
      </c>
      <c r="F92" s="192"/>
      <c r="G92" s="182"/>
      <c r="H92" s="192"/>
      <c r="I92" s="183" t="s">
        <v>765</v>
      </c>
      <c r="J92" s="183" t="s">
        <v>679</v>
      </c>
      <c r="K92" s="182">
        <v>45</v>
      </c>
      <c r="L92" s="197">
        <v>0.5</v>
      </c>
      <c r="M92" s="507">
        <v>0</v>
      </c>
      <c r="N92" s="1217">
        <f t="shared" si="37"/>
        <v>0</v>
      </c>
      <c r="O92" s="2934"/>
      <c r="P92" s="485">
        <v>3750000</v>
      </c>
      <c r="Q92" s="485">
        <v>3750000</v>
      </c>
      <c r="R92" s="505">
        <v>0</v>
      </c>
      <c r="S92" s="505">
        <v>0</v>
      </c>
      <c r="T92" s="1219">
        <f t="shared" si="38"/>
        <v>0</v>
      </c>
      <c r="U92" s="1219">
        <f t="shared" si="38"/>
        <v>0</v>
      </c>
      <c r="V92" s="507"/>
      <c r="W92" s="507"/>
      <c r="X92" s="1258"/>
      <c r="Y92" s="2931"/>
    </row>
    <row r="93" spans="1:25">
      <c r="A93" s="192"/>
      <c r="B93" s="192"/>
      <c r="C93" s="192"/>
      <c r="D93" s="183"/>
      <c r="E93" s="182"/>
      <c r="F93" s="192"/>
      <c r="G93" s="182"/>
      <c r="H93" s="192"/>
      <c r="I93" s="183"/>
      <c r="J93" s="183"/>
      <c r="K93" s="182"/>
      <c r="L93" s="197"/>
      <c r="M93" s="507"/>
      <c r="N93" s="1217"/>
      <c r="O93" s="1218"/>
      <c r="P93" s="485"/>
      <c r="Q93" s="485"/>
      <c r="R93" s="505"/>
      <c r="S93" s="505"/>
      <c r="T93" s="1219"/>
      <c r="U93" s="1219"/>
      <c r="V93" s="507"/>
      <c r="W93" s="507"/>
      <c r="X93" s="1258"/>
      <c r="Y93" s="942"/>
    </row>
    <row r="94" spans="1:25">
      <c r="A94" s="507"/>
      <c r="B94" s="504">
        <v>53010010003</v>
      </c>
      <c r="C94" s="504" t="s">
        <v>103</v>
      </c>
      <c r="D94" s="507" t="s">
        <v>766</v>
      </c>
      <c r="E94" s="507"/>
      <c r="F94" s="507"/>
      <c r="G94" s="507"/>
      <c r="H94" s="507"/>
      <c r="I94" s="507"/>
      <c r="J94" s="507"/>
      <c r="K94" s="507"/>
      <c r="L94" s="507"/>
      <c r="M94" s="507"/>
      <c r="N94" s="1220"/>
      <c r="O94" s="1220"/>
      <c r="P94" s="505"/>
      <c r="Q94" s="505"/>
      <c r="R94" s="505"/>
      <c r="S94" s="505"/>
      <c r="T94" s="1219"/>
      <c r="U94" s="1219"/>
      <c r="V94" s="506"/>
      <c r="W94" s="507"/>
      <c r="X94" s="1258"/>
      <c r="Y94" s="508"/>
    </row>
    <row r="95" spans="1:25" ht="16.5" customHeight="1">
      <c r="A95" s="2935">
        <v>4133</v>
      </c>
      <c r="B95" s="192"/>
      <c r="C95" s="2935" t="s">
        <v>109</v>
      </c>
      <c r="D95" s="2933" t="s">
        <v>767</v>
      </c>
      <c r="E95" s="182" t="s">
        <v>768</v>
      </c>
      <c r="F95" s="355"/>
      <c r="G95" s="353"/>
      <c r="H95" s="355"/>
      <c r="I95" s="353"/>
      <c r="J95" s="355"/>
      <c r="K95" s="489">
        <v>50</v>
      </c>
      <c r="L95" s="509">
        <f>SUM(L96:L98)</f>
        <v>1</v>
      </c>
      <c r="M95" s="507"/>
      <c r="N95" s="1220">
        <f>SUM(N96:N98)</f>
        <v>0.32666666666666666</v>
      </c>
      <c r="O95" s="2934">
        <f>IF(Q95&gt;0,N95,"na")</f>
        <v>0.32666666666666666</v>
      </c>
      <c r="P95" s="505">
        <f>SUM(P96:P98)</f>
        <v>1553111760</v>
      </c>
      <c r="Q95" s="505">
        <f t="shared" ref="Q95:S95" si="39">SUM(Q96:Q98)</f>
        <v>2612846760</v>
      </c>
      <c r="R95" s="505">
        <f t="shared" si="39"/>
        <v>394758500</v>
      </c>
      <c r="S95" s="505">
        <f t="shared" si="39"/>
        <v>235044000</v>
      </c>
      <c r="T95" s="1219">
        <f>+IF(Q95=0,0,R95/Q95)</f>
        <v>0.15108367855449739</v>
      </c>
      <c r="U95" s="1219">
        <f>+IF(R95=0,0,S95/R95)</f>
        <v>0.59541213172103957</v>
      </c>
      <c r="V95" s="506"/>
      <c r="W95" s="507"/>
      <c r="X95" s="1258"/>
      <c r="Y95" s="2929" t="s">
        <v>673</v>
      </c>
    </row>
    <row r="96" spans="1:25" ht="54">
      <c r="A96" s="2935"/>
      <c r="B96" s="192"/>
      <c r="C96" s="2935"/>
      <c r="D96" s="2933"/>
      <c r="E96" s="182" t="s">
        <v>769</v>
      </c>
      <c r="F96" s="355"/>
      <c r="G96" s="2933" t="s">
        <v>770</v>
      </c>
      <c r="H96" s="2932"/>
      <c r="I96" s="183" t="s">
        <v>771</v>
      </c>
      <c r="J96" s="183" t="s">
        <v>747</v>
      </c>
      <c r="K96" s="489">
        <v>50</v>
      </c>
      <c r="L96" s="487">
        <v>0.5</v>
      </c>
      <c r="M96" s="507">
        <v>16</v>
      </c>
      <c r="N96" s="1217">
        <f t="shared" ref="N96:N98" si="40">(M96/K96)*L96</f>
        <v>0.16</v>
      </c>
      <c r="O96" s="2934"/>
      <c r="P96" s="485">
        <v>1200404760</v>
      </c>
      <c r="Q96" s="485">
        <v>1425404760</v>
      </c>
      <c r="R96" s="505">
        <v>281404000</v>
      </c>
      <c r="S96" s="505">
        <v>164615500</v>
      </c>
      <c r="T96" s="1219">
        <f t="shared" ref="T96:U98" si="41">+IF(Q96=0,0,R96/Q96)</f>
        <v>0.19742041551762463</v>
      </c>
      <c r="U96" s="1219">
        <f t="shared" si="41"/>
        <v>0.58497924691902037</v>
      </c>
      <c r="V96" s="506">
        <v>45318</v>
      </c>
      <c r="W96" s="506">
        <v>45657</v>
      </c>
      <c r="X96" s="1258" t="s">
        <v>4842</v>
      </c>
      <c r="Y96" s="2930"/>
    </row>
    <row r="97" spans="1:25" ht="67.5">
      <c r="A97" s="2935"/>
      <c r="B97" s="192"/>
      <c r="C97" s="2935"/>
      <c r="D97" s="2933"/>
      <c r="E97" s="182" t="s">
        <v>772</v>
      </c>
      <c r="F97" s="355"/>
      <c r="G97" s="2933"/>
      <c r="H97" s="2932"/>
      <c r="I97" s="183" t="s">
        <v>773</v>
      </c>
      <c r="J97" s="183" t="s">
        <v>498</v>
      </c>
      <c r="K97" s="489">
        <v>3</v>
      </c>
      <c r="L97" s="487">
        <v>0.25</v>
      </c>
      <c r="M97" s="507">
        <v>2</v>
      </c>
      <c r="N97" s="1217">
        <f t="shared" si="40"/>
        <v>0.16666666666666666</v>
      </c>
      <c r="O97" s="2934"/>
      <c r="P97" s="485">
        <v>285600000</v>
      </c>
      <c r="Q97" s="485">
        <v>629600000</v>
      </c>
      <c r="R97" s="505">
        <v>113354500</v>
      </c>
      <c r="S97" s="505">
        <v>70428500</v>
      </c>
      <c r="T97" s="1219">
        <f t="shared" si="41"/>
        <v>0.18004209021601017</v>
      </c>
      <c r="U97" s="1219">
        <f t="shared" si="41"/>
        <v>0.62131190204182452</v>
      </c>
      <c r="V97" s="506">
        <v>45354</v>
      </c>
      <c r="W97" s="506">
        <v>45657</v>
      </c>
      <c r="X97" s="1258" t="s">
        <v>774</v>
      </c>
      <c r="Y97" s="2930"/>
    </row>
    <row r="98" spans="1:25" ht="40.5">
      <c r="A98" s="2935"/>
      <c r="B98" s="192"/>
      <c r="C98" s="2935"/>
      <c r="D98" s="2933"/>
      <c r="E98" s="182" t="s">
        <v>775</v>
      </c>
      <c r="F98" s="355"/>
      <c r="G98" s="2933"/>
      <c r="H98" s="2932"/>
      <c r="I98" s="183" t="s">
        <v>776</v>
      </c>
      <c r="J98" s="183" t="s">
        <v>679</v>
      </c>
      <c r="K98" s="489">
        <v>500</v>
      </c>
      <c r="L98" s="487">
        <v>0.25</v>
      </c>
      <c r="M98" s="507">
        <v>0</v>
      </c>
      <c r="N98" s="1217">
        <f t="shared" si="40"/>
        <v>0</v>
      </c>
      <c r="O98" s="2934"/>
      <c r="P98" s="485">
        <v>67107000</v>
      </c>
      <c r="Q98" s="485">
        <v>557842000</v>
      </c>
      <c r="R98" s="505">
        <v>0</v>
      </c>
      <c r="S98" s="505">
        <v>0</v>
      </c>
      <c r="T98" s="1219">
        <f t="shared" si="41"/>
        <v>0</v>
      </c>
      <c r="U98" s="1219">
        <f t="shared" si="41"/>
        <v>0</v>
      </c>
      <c r="V98" s="507"/>
      <c r="W98" s="507"/>
      <c r="X98" s="1258"/>
      <c r="Y98" s="2931"/>
    </row>
    <row r="99" spans="1:25" ht="27">
      <c r="A99" s="508"/>
      <c r="B99" s="504">
        <v>53010010004</v>
      </c>
      <c r="C99" s="504" t="s">
        <v>103</v>
      </c>
      <c r="D99" s="507" t="s">
        <v>777</v>
      </c>
      <c r="E99" s="507"/>
      <c r="F99" s="513"/>
      <c r="G99" s="513"/>
      <c r="H99" s="513"/>
      <c r="I99" s="507"/>
      <c r="J99" s="507"/>
      <c r="K99" s="508"/>
      <c r="L99" s="507"/>
      <c r="M99" s="507"/>
      <c r="N99" s="1220"/>
      <c r="O99" s="1220"/>
      <c r="P99" s="505"/>
      <c r="Q99" s="505"/>
      <c r="R99" s="505"/>
      <c r="S99" s="505"/>
      <c r="T99" s="1219"/>
      <c r="U99" s="1219"/>
      <c r="V99" s="506"/>
      <c r="W99" s="507"/>
      <c r="X99" s="1258"/>
      <c r="Y99" s="508"/>
    </row>
    <row r="100" spans="1:25" ht="16.5" customHeight="1">
      <c r="A100" s="2935">
        <v>4133</v>
      </c>
      <c r="B100" s="192"/>
      <c r="C100" s="2935" t="s">
        <v>109</v>
      </c>
      <c r="D100" s="2933" t="s">
        <v>778</v>
      </c>
      <c r="E100" s="182" t="s">
        <v>779</v>
      </c>
      <c r="F100" s="355"/>
      <c r="G100" s="353"/>
      <c r="H100" s="1226"/>
      <c r="I100" s="353"/>
      <c r="J100" s="355"/>
      <c r="K100" s="489">
        <v>2230</v>
      </c>
      <c r="L100" s="487">
        <f>SUM(L101:L104)</f>
        <v>1</v>
      </c>
      <c r="M100" s="507"/>
      <c r="N100" s="1220">
        <f>SUM(N101:N104)</f>
        <v>0.81022421524663679</v>
      </c>
      <c r="O100" s="2934">
        <f>IF(Q100&gt;0,N100,"na")</f>
        <v>0.81022421524663679</v>
      </c>
      <c r="P100" s="505">
        <f>SUM(P101:P104)</f>
        <v>4394697565</v>
      </c>
      <c r="Q100" s="505">
        <f t="shared" ref="Q100:S100" si="42">SUM(Q101:Q104)</f>
        <v>5701288965</v>
      </c>
      <c r="R100" s="505">
        <f t="shared" si="42"/>
        <v>2206838216</v>
      </c>
      <c r="S100" s="505">
        <f t="shared" si="42"/>
        <v>1083377859</v>
      </c>
      <c r="T100" s="1219">
        <f>+IF(Q100=0,0,R100/Q100)</f>
        <v>0.38707706793107616</v>
      </c>
      <c r="U100" s="1219">
        <f>+IF(R100=0,0,S100/R100)</f>
        <v>0.49091856899400366</v>
      </c>
      <c r="V100" s="506"/>
      <c r="W100" s="507"/>
      <c r="X100" s="1258"/>
      <c r="Y100" s="2929" t="s">
        <v>673</v>
      </c>
    </row>
    <row r="101" spans="1:25" ht="40.5" customHeight="1">
      <c r="A101" s="2935"/>
      <c r="B101" s="192"/>
      <c r="C101" s="2935"/>
      <c r="D101" s="2933"/>
      <c r="E101" s="182" t="s">
        <v>780</v>
      </c>
      <c r="F101" s="355"/>
      <c r="G101" s="2933" t="s">
        <v>781</v>
      </c>
      <c r="H101" s="2937"/>
      <c r="I101" s="183" t="s">
        <v>782</v>
      </c>
      <c r="J101" s="183" t="s">
        <v>783</v>
      </c>
      <c r="K101" s="489">
        <v>2230</v>
      </c>
      <c r="L101" s="487">
        <v>0.89</v>
      </c>
      <c r="M101" s="507">
        <v>1980</v>
      </c>
      <c r="N101" s="1217">
        <f t="shared" ref="N101:N104" si="43">(M101/K101)*L101</f>
        <v>0.79022421524663677</v>
      </c>
      <c r="O101" s="2934"/>
      <c r="P101" s="485">
        <v>3879514258</v>
      </c>
      <c r="Q101" s="485">
        <v>4533337658</v>
      </c>
      <c r="R101" s="505">
        <v>2148824216</v>
      </c>
      <c r="S101" s="505">
        <v>1044701859</v>
      </c>
      <c r="T101" s="1219">
        <f t="shared" ref="T101:U104" si="44">+IF(Q101=0,0,R101/Q101)</f>
        <v>0.47400488957798254</v>
      </c>
      <c r="U101" s="1219">
        <f t="shared" si="44"/>
        <v>0.4861737182693775</v>
      </c>
      <c r="V101" s="506">
        <v>45311</v>
      </c>
      <c r="W101" s="506">
        <v>45657</v>
      </c>
      <c r="X101" s="1258" t="s">
        <v>784</v>
      </c>
      <c r="Y101" s="2930"/>
    </row>
    <row r="102" spans="1:25" ht="54">
      <c r="A102" s="2935"/>
      <c r="B102" s="192"/>
      <c r="C102" s="2935"/>
      <c r="D102" s="2933"/>
      <c r="E102" s="182" t="s">
        <v>785</v>
      </c>
      <c r="F102" s="355"/>
      <c r="G102" s="2933"/>
      <c r="H102" s="2937"/>
      <c r="I102" s="183" t="s">
        <v>786</v>
      </c>
      <c r="J102" s="183" t="s">
        <v>498</v>
      </c>
      <c r="K102" s="489">
        <v>1</v>
      </c>
      <c r="L102" s="487">
        <v>0.04</v>
      </c>
      <c r="M102" s="507">
        <v>0</v>
      </c>
      <c r="N102" s="1217">
        <f t="shared" si="43"/>
        <v>0</v>
      </c>
      <c r="O102" s="2934"/>
      <c r="P102" s="485">
        <v>213800000</v>
      </c>
      <c r="Q102" s="485">
        <v>213800000</v>
      </c>
      <c r="R102" s="505">
        <v>0</v>
      </c>
      <c r="S102" s="505">
        <v>0</v>
      </c>
      <c r="T102" s="1219">
        <f t="shared" si="44"/>
        <v>0</v>
      </c>
      <c r="U102" s="1219">
        <f t="shared" si="44"/>
        <v>0</v>
      </c>
      <c r="V102" s="507"/>
      <c r="W102" s="507"/>
      <c r="X102" s="1258"/>
      <c r="Y102" s="2930"/>
    </row>
    <row r="103" spans="1:25" ht="54">
      <c r="A103" s="2935"/>
      <c r="B103" s="192"/>
      <c r="C103" s="2935"/>
      <c r="D103" s="2933"/>
      <c r="E103" s="182" t="s">
        <v>787</v>
      </c>
      <c r="F103" s="355"/>
      <c r="G103" s="2933"/>
      <c r="H103" s="2937"/>
      <c r="I103" s="183" t="s">
        <v>788</v>
      </c>
      <c r="J103" s="183" t="s">
        <v>789</v>
      </c>
      <c r="K103" s="489">
        <v>2</v>
      </c>
      <c r="L103" s="487">
        <v>0.04</v>
      </c>
      <c r="M103" s="507">
        <v>1</v>
      </c>
      <c r="N103" s="1217">
        <f t="shared" si="43"/>
        <v>0.02</v>
      </c>
      <c r="O103" s="2934"/>
      <c r="P103" s="485">
        <v>202680000</v>
      </c>
      <c r="Q103" s="485">
        <v>202680000</v>
      </c>
      <c r="R103" s="505">
        <v>58014000</v>
      </c>
      <c r="S103" s="505">
        <v>38676000</v>
      </c>
      <c r="T103" s="1219">
        <f t="shared" si="44"/>
        <v>0.28623445825932503</v>
      </c>
      <c r="U103" s="1219">
        <f t="shared" si="44"/>
        <v>0.66666666666666663</v>
      </c>
      <c r="V103" s="506">
        <v>45354</v>
      </c>
      <c r="W103" s="506">
        <v>45657</v>
      </c>
      <c r="X103" s="1258" t="s">
        <v>790</v>
      </c>
      <c r="Y103" s="2930"/>
    </row>
    <row r="104" spans="1:25" ht="40.5">
      <c r="A104" s="2935"/>
      <c r="B104" s="192"/>
      <c r="C104" s="2935"/>
      <c r="D104" s="2933"/>
      <c r="E104" s="182" t="s">
        <v>791</v>
      </c>
      <c r="F104" s="355"/>
      <c r="G104" s="2933"/>
      <c r="H104" s="2937"/>
      <c r="I104" s="183" t="s">
        <v>4843</v>
      </c>
      <c r="J104" s="183" t="s">
        <v>679</v>
      </c>
      <c r="K104" s="489">
        <v>311230</v>
      </c>
      <c r="L104" s="487">
        <v>0.03</v>
      </c>
      <c r="M104" s="507">
        <v>0</v>
      </c>
      <c r="N104" s="1217">
        <f t="shared" si="43"/>
        <v>0</v>
      </c>
      <c r="O104" s="2934"/>
      <c r="P104" s="485">
        <v>98703307</v>
      </c>
      <c r="Q104" s="485">
        <v>751471307</v>
      </c>
      <c r="R104" s="505">
        <v>0</v>
      </c>
      <c r="S104" s="505">
        <v>0</v>
      </c>
      <c r="T104" s="1219">
        <f t="shared" si="44"/>
        <v>0</v>
      </c>
      <c r="U104" s="1219">
        <f t="shared" si="44"/>
        <v>0</v>
      </c>
      <c r="V104" s="507"/>
      <c r="W104" s="507"/>
      <c r="X104" s="1258"/>
      <c r="Y104" s="2931"/>
    </row>
    <row r="105" spans="1:25" ht="16.5" customHeight="1">
      <c r="A105" s="182"/>
      <c r="B105" s="192">
        <v>53010010005</v>
      </c>
      <c r="C105" s="192" t="s">
        <v>103</v>
      </c>
      <c r="D105" s="182" t="s">
        <v>792</v>
      </c>
      <c r="E105" s="182"/>
      <c r="F105" s="355"/>
      <c r="G105" s="182"/>
      <c r="H105" s="355"/>
      <c r="I105" s="183"/>
      <c r="J105" s="183"/>
      <c r="K105" s="489"/>
      <c r="L105" s="487"/>
      <c r="M105" s="507"/>
      <c r="N105" s="1220"/>
      <c r="O105" s="1220"/>
      <c r="P105" s="198"/>
      <c r="Q105" s="505"/>
      <c r="R105" s="505"/>
      <c r="S105" s="505"/>
      <c r="T105" s="1219"/>
      <c r="U105" s="1219"/>
      <c r="V105" s="506"/>
      <c r="W105" s="507"/>
      <c r="X105" s="1258"/>
      <c r="Y105" s="507"/>
    </row>
    <row r="106" spans="1:25" ht="66" customHeight="1">
      <c r="A106" s="2935">
        <v>4133</v>
      </c>
      <c r="B106" s="192"/>
      <c r="C106" s="2935" t="s">
        <v>109</v>
      </c>
      <c r="D106" s="2933" t="s">
        <v>793</v>
      </c>
      <c r="E106" s="182" t="s">
        <v>794</v>
      </c>
      <c r="F106" s="355"/>
      <c r="G106" s="353"/>
      <c r="H106" s="355"/>
      <c r="I106" s="353"/>
      <c r="J106" s="355"/>
      <c r="K106" s="489">
        <f>K107</f>
        <v>790</v>
      </c>
      <c r="L106" s="487">
        <f>SUM(L107:L107)</f>
        <v>1</v>
      </c>
      <c r="M106" s="507"/>
      <c r="N106" s="1220">
        <f>SUM(N107:N107)</f>
        <v>0</v>
      </c>
      <c r="O106" s="2934">
        <f>IF(Q106&gt;0,N106,"na")</f>
        <v>0</v>
      </c>
      <c r="P106" s="505">
        <f>SUM(P107)</f>
        <v>850260980</v>
      </c>
      <c r="Q106" s="505">
        <f t="shared" ref="Q106:S106" si="45">SUM(Q107)</f>
        <v>1650260980</v>
      </c>
      <c r="R106" s="505">
        <f t="shared" si="45"/>
        <v>0</v>
      </c>
      <c r="S106" s="505">
        <f t="shared" si="45"/>
        <v>0</v>
      </c>
      <c r="T106" s="1219">
        <f>+IF(Q106=0,0,R106/Q106)</f>
        <v>0</v>
      </c>
      <c r="U106" s="1219">
        <f>+IF(R106=0,0,S106/R106)</f>
        <v>0</v>
      </c>
      <c r="V106" s="507"/>
      <c r="W106" s="507"/>
      <c r="X106" s="1258"/>
      <c r="Y106" s="2929" t="s">
        <v>634</v>
      </c>
    </row>
    <row r="107" spans="1:25" ht="148.5">
      <c r="A107" s="2935"/>
      <c r="B107" s="192"/>
      <c r="C107" s="2935"/>
      <c r="D107" s="2933"/>
      <c r="E107" s="183" t="s">
        <v>795</v>
      </c>
      <c r="F107" s="355"/>
      <c r="G107" s="183" t="s">
        <v>796</v>
      </c>
      <c r="H107" s="355"/>
      <c r="I107" s="183" t="s">
        <v>4844</v>
      </c>
      <c r="J107" s="183" t="s">
        <v>797</v>
      </c>
      <c r="K107" s="489">
        <v>790</v>
      </c>
      <c r="L107" s="487">
        <v>1</v>
      </c>
      <c r="M107" s="507">
        <v>0</v>
      </c>
      <c r="N107" s="1217">
        <f t="shared" ref="N107" si="46">(M107/K107)*L107</f>
        <v>0</v>
      </c>
      <c r="O107" s="2934"/>
      <c r="P107" s="485">
        <v>850260980</v>
      </c>
      <c r="Q107" s="485">
        <v>1650260980</v>
      </c>
      <c r="R107" s="505">
        <v>0</v>
      </c>
      <c r="S107" s="505">
        <v>0</v>
      </c>
      <c r="T107" s="1219">
        <f t="shared" ref="T107:U107" si="47">+IF(Q107=0,0,R107/Q107)</f>
        <v>0</v>
      </c>
      <c r="U107" s="1219">
        <f t="shared" si="47"/>
        <v>0</v>
      </c>
      <c r="V107" s="507"/>
      <c r="W107" s="507"/>
      <c r="X107" s="1258"/>
      <c r="Y107" s="2931"/>
    </row>
    <row r="108" spans="1:25" ht="27">
      <c r="A108" s="507"/>
      <c r="B108" s="504">
        <v>53010010006</v>
      </c>
      <c r="C108" s="504" t="s">
        <v>103</v>
      </c>
      <c r="D108" s="507" t="s">
        <v>798</v>
      </c>
      <c r="E108" s="513"/>
      <c r="F108" s="507"/>
      <c r="G108" s="507"/>
      <c r="H108" s="507"/>
      <c r="I108" s="507"/>
      <c r="J108" s="507"/>
      <c r="K108" s="507"/>
      <c r="L108" s="507"/>
      <c r="M108" s="507"/>
      <c r="N108" s="1220"/>
      <c r="O108" s="1220"/>
      <c r="P108" s="505"/>
      <c r="Q108" s="505"/>
      <c r="R108" s="505"/>
      <c r="S108" s="505"/>
      <c r="T108" s="1219"/>
      <c r="U108" s="1219"/>
      <c r="V108" s="506"/>
      <c r="W108" s="507"/>
      <c r="X108" s="1258"/>
      <c r="Y108" s="508"/>
    </row>
    <row r="109" spans="1:25" ht="16.5" customHeight="1">
      <c r="A109" s="2935">
        <v>4133</v>
      </c>
      <c r="B109" s="192"/>
      <c r="C109" s="2935" t="s">
        <v>109</v>
      </c>
      <c r="D109" s="2933" t="s">
        <v>799</v>
      </c>
      <c r="E109" s="182" t="s">
        <v>800</v>
      </c>
      <c r="F109" s="355"/>
      <c r="G109" s="353"/>
      <c r="H109" s="355"/>
      <c r="I109" s="353"/>
      <c r="J109" s="355"/>
      <c r="K109" s="489">
        <f>K110</f>
        <v>85</v>
      </c>
      <c r="L109" s="487">
        <f>SUM(L110:L111:L112)</f>
        <v>1</v>
      </c>
      <c r="M109" s="507"/>
      <c r="N109" s="1220">
        <f>SUM(N110:N112)</f>
        <v>0.37647058823529411</v>
      </c>
      <c r="O109" s="2934">
        <f>IF(Q109&gt;0,N109,"na")</f>
        <v>0.37647058823529411</v>
      </c>
      <c r="P109" s="505">
        <f>SUM(P110:P112)</f>
        <v>2708329516</v>
      </c>
      <c r="Q109" s="505">
        <f t="shared" ref="Q109:S109" si="48">SUM(Q110:Q112)</f>
        <v>4824170178</v>
      </c>
      <c r="R109" s="505">
        <f t="shared" si="48"/>
        <v>2344790738</v>
      </c>
      <c r="S109" s="505">
        <f t="shared" si="48"/>
        <v>541598565</v>
      </c>
      <c r="T109" s="1219">
        <f>+IF(Q109=0,0,R109/Q109)</f>
        <v>0.48605058517485822</v>
      </c>
      <c r="U109" s="1219">
        <f>+IF(R109=0,0,S109/R109)</f>
        <v>0.23097948837087226</v>
      </c>
      <c r="V109" s="506"/>
      <c r="W109" s="507"/>
      <c r="X109" s="1258"/>
      <c r="Y109" s="2929" t="s">
        <v>634</v>
      </c>
    </row>
    <row r="110" spans="1:25" ht="81">
      <c r="A110" s="2935"/>
      <c r="B110" s="192"/>
      <c r="C110" s="2935"/>
      <c r="D110" s="2933"/>
      <c r="E110" s="183" t="s">
        <v>801</v>
      </c>
      <c r="F110" s="355"/>
      <c r="G110" s="2933" t="s">
        <v>802</v>
      </c>
      <c r="H110" s="2932"/>
      <c r="I110" s="183" t="s">
        <v>803</v>
      </c>
      <c r="J110" s="182" t="s">
        <v>750</v>
      </c>
      <c r="K110" s="182">
        <v>85</v>
      </c>
      <c r="L110" s="487">
        <v>0.8</v>
      </c>
      <c r="M110" s="507">
        <v>40</v>
      </c>
      <c r="N110" s="1217">
        <f t="shared" ref="N110:N112" si="49">(M110/K110)*L110</f>
        <v>0.37647058823529411</v>
      </c>
      <c r="O110" s="2934"/>
      <c r="P110" s="485">
        <v>2033236900</v>
      </c>
      <c r="Q110" s="485">
        <v>2844314554</v>
      </c>
      <c r="R110" s="505">
        <v>1140170723</v>
      </c>
      <c r="S110" s="505">
        <v>541598565</v>
      </c>
      <c r="T110" s="1219">
        <f t="shared" ref="T110:U112" si="50">+IF(Q110=0,0,R110/Q110)</f>
        <v>0.40085957490058954</v>
      </c>
      <c r="U110" s="1219">
        <f t="shared" si="50"/>
        <v>0.47501532364815863</v>
      </c>
      <c r="V110" s="506">
        <v>45322</v>
      </c>
      <c r="W110" s="506">
        <v>45657</v>
      </c>
      <c r="X110" s="1258" t="s">
        <v>4845</v>
      </c>
      <c r="Y110" s="2930"/>
    </row>
    <row r="111" spans="1:25" ht="81">
      <c r="A111" s="2935"/>
      <c r="B111" s="192"/>
      <c r="C111" s="2935"/>
      <c r="D111" s="2933"/>
      <c r="E111" s="183" t="s">
        <v>804</v>
      </c>
      <c r="F111" s="192"/>
      <c r="G111" s="2933"/>
      <c r="H111" s="2932"/>
      <c r="I111" s="183" t="s">
        <v>4846</v>
      </c>
      <c r="J111" s="182" t="s">
        <v>679</v>
      </c>
      <c r="K111" s="182">
        <v>200</v>
      </c>
      <c r="L111" s="197">
        <v>0.15</v>
      </c>
      <c r="M111" s="507">
        <v>0</v>
      </c>
      <c r="N111" s="1217">
        <f t="shared" si="49"/>
        <v>0</v>
      </c>
      <c r="O111" s="2934"/>
      <c r="P111" s="485">
        <v>525514616</v>
      </c>
      <c r="Q111" s="485">
        <v>412155387</v>
      </c>
      <c r="R111" s="505">
        <v>0</v>
      </c>
      <c r="S111" s="505">
        <v>0</v>
      </c>
      <c r="T111" s="1219">
        <f t="shared" si="50"/>
        <v>0</v>
      </c>
      <c r="U111" s="1219">
        <f t="shared" si="50"/>
        <v>0</v>
      </c>
      <c r="V111" s="507"/>
      <c r="W111" s="507"/>
      <c r="X111" s="1258"/>
      <c r="Y111" s="2930"/>
    </row>
    <row r="112" spans="1:25" ht="81">
      <c r="A112" s="2935"/>
      <c r="B112" s="192"/>
      <c r="C112" s="2935"/>
      <c r="D112" s="2933"/>
      <c r="E112" s="183" t="s">
        <v>805</v>
      </c>
      <c r="F112" s="192"/>
      <c r="G112" s="2933"/>
      <c r="H112" s="2932"/>
      <c r="I112" s="183" t="s">
        <v>806</v>
      </c>
      <c r="J112" s="182" t="s">
        <v>807</v>
      </c>
      <c r="K112" s="182">
        <v>1</v>
      </c>
      <c r="L112" s="197">
        <v>0.05</v>
      </c>
      <c r="M112" s="507">
        <v>0</v>
      </c>
      <c r="N112" s="1217">
        <f t="shared" si="49"/>
        <v>0</v>
      </c>
      <c r="O112" s="2934"/>
      <c r="P112" s="485">
        <v>149578000</v>
      </c>
      <c r="Q112" s="485">
        <v>1567700237</v>
      </c>
      <c r="R112" s="505">
        <v>1204620015</v>
      </c>
      <c r="S112" s="505">
        <v>0</v>
      </c>
      <c r="T112" s="1219">
        <f t="shared" si="50"/>
        <v>0.76839945964746326</v>
      </c>
      <c r="U112" s="1219">
        <f t="shared" si="50"/>
        <v>0</v>
      </c>
      <c r="V112" s="506">
        <v>45391</v>
      </c>
      <c r="W112" s="506">
        <v>45657</v>
      </c>
      <c r="X112" s="1258" t="s">
        <v>4847</v>
      </c>
      <c r="Y112" s="2931"/>
    </row>
    <row r="113" spans="1:25" ht="14.45" customHeight="1">
      <c r="A113" s="507"/>
      <c r="B113" s="1246">
        <v>5301002</v>
      </c>
      <c r="C113" s="1246" t="s">
        <v>102</v>
      </c>
      <c r="D113" s="1247" t="s">
        <v>808</v>
      </c>
      <c r="E113" s="513"/>
      <c r="F113" s="507"/>
      <c r="G113" s="507"/>
      <c r="H113" s="508"/>
      <c r="I113" s="507"/>
      <c r="J113" s="507"/>
      <c r="K113" s="507"/>
      <c r="L113" s="507"/>
      <c r="M113" s="507"/>
      <c r="N113" s="1220"/>
      <c r="O113" s="1220"/>
      <c r="P113" s="505"/>
      <c r="Q113" s="505"/>
      <c r="R113" s="505"/>
      <c r="S113" s="505"/>
      <c r="T113" s="1219"/>
      <c r="U113" s="1219"/>
      <c r="V113" s="506"/>
      <c r="W113" s="507"/>
      <c r="X113" s="1258"/>
      <c r="Y113" s="508"/>
    </row>
    <row r="114" spans="1:25" ht="27">
      <c r="A114" s="507"/>
      <c r="B114" s="948">
        <v>53010020001</v>
      </c>
      <c r="C114" s="504" t="s">
        <v>103</v>
      </c>
      <c r="D114" s="507" t="s">
        <v>809</v>
      </c>
      <c r="E114" s="513"/>
      <c r="F114" s="507"/>
      <c r="G114" s="507"/>
      <c r="H114" s="508"/>
      <c r="I114" s="507"/>
      <c r="J114" s="507"/>
      <c r="K114" s="507"/>
      <c r="L114" s="507"/>
      <c r="M114" s="507"/>
      <c r="N114" s="1220"/>
      <c r="O114" s="1220"/>
      <c r="P114" s="505"/>
      <c r="Q114" s="505"/>
      <c r="R114" s="505"/>
      <c r="S114" s="505"/>
      <c r="T114" s="1219"/>
      <c r="U114" s="1219"/>
      <c r="V114" s="506"/>
      <c r="W114" s="507"/>
      <c r="X114" s="1258"/>
      <c r="Y114" s="508"/>
    </row>
    <row r="115" spans="1:25" ht="16.5" customHeight="1">
      <c r="A115" s="2935">
        <v>4133</v>
      </c>
      <c r="B115" s="192"/>
      <c r="C115" s="2935" t="s">
        <v>109</v>
      </c>
      <c r="D115" s="2933" t="s">
        <v>810</v>
      </c>
      <c r="E115" s="182" t="s">
        <v>811</v>
      </c>
      <c r="F115" s="355"/>
      <c r="G115" s="353"/>
      <c r="H115" s="355"/>
      <c r="I115" s="353"/>
      <c r="J115" s="355"/>
      <c r="K115" s="489">
        <f>K118</f>
        <v>860</v>
      </c>
      <c r="L115" s="487">
        <f>SUM(L116:L118)</f>
        <v>1</v>
      </c>
      <c r="M115" s="507"/>
      <c r="N115" s="1220">
        <f>SUM(N116:N118)</f>
        <v>0.12197265625000001</v>
      </c>
      <c r="O115" s="2934">
        <f>IF(Q115&gt;0,N115,"na")</f>
        <v>0.12197265625000001</v>
      </c>
      <c r="P115" s="505">
        <f>SUM(P116:P118)</f>
        <v>2545000000</v>
      </c>
      <c r="Q115" s="505">
        <f t="shared" ref="Q115:S115" si="51">SUM(Q116:Q118)</f>
        <v>3245000000</v>
      </c>
      <c r="R115" s="505">
        <f t="shared" si="51"/>
        <v>1336917500</v>
      </c>
      <c r="S115" s="505">
        <f t="shared" si="51"/>
        <v>780117000</v>
      </c>
      <c r="T115" s="1219">
        <f>+IF(Q115=0,0,R115/Q115)</f>
        <v>0.41199306625577814</v>
      </c>
      <c r="U115" s="1219">
        <f>+IF(R115=0,0,S115/R115)</f>
        <v>0.58351917751095339</v>
      </c>
      <c r="V115" s="506"/>
      <c r="W115" s="507"/>
      <c r="X115" s="1258"/>
      <c r="Y115" s="2929" t="s">
        <v>634</v>
      </c>
    </row>
    <row r="116" spans="1:25" ht="54" customHeight="1">
      <c r="A116" s="2935"/>
      <c r="B116" s="192"/>
      <c r="C116" s="2935"/>
      <c r="D116" s="2933"/>
      <c r="E116" s="183" t="s">
        <v>812</v>
      </c>
      <c r="F116" s="355"/>
      <c r="G116" s="353"/>
      <c r="H116" s="355"/>
      <c r="I116" s="183" t="s">
        <v>813</v>
      </c>
      <c r="J116" s="183" t="s">
        <v>814</v>
      </c>
      <c r="K116" s="489">
        <v>1024</v>
      </c>
      <c r="L116" s="487">
        <v>0.5</v>
      </c>
      <c r="M116" s="507">
        <v>45</v>
      </c>
      <c r="N116" s="1217">
        <f t="shared" ref="N116:N118" si="52">(M116/K116)*L116</f>
        <v>2.197265625E-2</v>
      </c>
      <c r="O116" s="2934"/>
      <c r="P116" s="485">
        <v>682340000</v>
      </c>
      <c r="Q116" s="485">
        <v>1382340000</v>
      </c>
      <c r="R116" s="505">
        <v>240400000</v>
      </c>
      <c r="S116" s="505">
        <v>82842500</v>
      </c>
      <c r="T116" s="1219">
        <f t="shared" ref="T116:U118" si="53">+IF(Q116=0,0,R116/Q116)</f>
        <v>0.1739080110537205</v>
      </c>
      <c r="U116" s="1219">
        <f t="shared" si="53"/>
        <v>0.34460274542429287</v>
      </c>
      <c r="V116" s="506">
        <v>45360</v>
      </c>
      <c r="W116" s="506">
        <v>45657</v>
      </c>
      <c r="X116" s="1258" t="s">
        <v>4848</v>
      </c>
      <c r="Y116" s="2930"/>
    </row>
    <row r="117" spans="1:25" ht="94.5">
      <c r="A117" s="2935"/>
      <c r="B117" s="192"/>
      <c r="C117" s="2935"/>
      <c r="D117" s="2933"/>
      <c r="E117" s="183" t="s">
        <v>815</v>
      </c>
      <c r="F117" s="355"/>
      <c r="G117" s="353"/>
      <c r="H117" s="355"/>
      <c r="I117" s="183" t="s">
        <v>816</v>
      </c>
      <c r="J117" s="183" t="s">
        <v>498</v>
      </c>
      <c r="K117" s="489">
        <v>2</v>
      </c>
      <c r="L117" s="487">
        <v>0.2</v>
      </c>
      <c r="M117" s="507">
        <v>1</v>
      </c>
      <c r="N117" s="1217">
        <f t="shared" si="52"/>
        <v>0.1</v>
      </c>
      <c r="O117" s="2934"/>
      <c r="P117" s="485">
        <v>1317660000</v>
      </c>
      <c r="Q117" s="485">
        <v>1317660000</v>
      </c>
      <c r="R117" s="505">
        <v>1096517500</v>
      </c>
      <c r="S117" s="505">
        <v>697274500</v>
      </c>
      <c r="T117" s="1219">
        <f t="shared" si="53"/>
        <v>0.83217028672039828</v>
      </c>
      <c r="U117" s="1219">
        <f t="shared" si="53"/>
        <v>0.63589910785737569</v>
      </c>
      <c r="V117" s="506">
        <v>45317</v>
      </c>
      <c r="W117" s="506">
        <v>45657</v>
      </c>
      <c r="X117" s="1258" t="s">
        <v>4849</v>
      </c>
      <c r="Y117" s="2930"/>
    </row>
    <row r="118" spans="1:25" ht="40.5">
      <c r="A118" s="2935"/>
      <c r="B118" s="192"/>
      <c r="C118" s="2935"/>
      <c r="D118" s="2933"/>
      <c r="E118" s="183" t="s">
        <v>817</v>
      </c>
      <c r="F118" s="355"/>
      <c r="G118" s="182" t="s">
        <v>818</v>
      </c>
      <c r="H118" s="355"/>
      <c r="I118" s="183" t="s">
        <v>819</v>
      </c>
      <c r="J118" s="183" t="s">
        <v>820</v>
      </c>
      <c r="K118" s="489">
        <v>860</v>
      </c>
      <c r="L118" s="487">
        <v>0.3</v>
      </c>
      <c r="M118" s="507">
        <v>0</v>
      </c>
      <c r="N118" s="1217">
        <f t="shared" si="52"/>
        <v>0</v>
      </c>
      <c r="O118" s="2934"/>
      <c r="P118" s="485">
        <v>545000000</v>
      </c>
      <c r="Q118" s="485">
        <v>545000000</v>
      </c>
      <c r="R118" s="505">
        <v>0</v>
      </c>
      <c r="S118" s="505">
        <v>0</v>
      </c>
      <c r="T118" s="1219">
        <f t="shared" si="53"/>
        <v>0</v>
      </c>
      <c r="U118" s="1219">
        <f t="shared" si="53"/>
        <v>0</v>
      </c>
      <c r="V118" s="507"/>
      <c r="W118" s="507"/>
      <c r="X118" s="1258"/>
      <c r="Y118" s="2931"/>
    </row>
    <row r="119" spans="1:25" ht="16.5" customHeight="1">
      <c r="A119" s="192"/>
      <c r="B119" s="192"/>
      <c r="C119" s="192"/>
      <c r="D119" s="183"/>
      <c r="E119" s="183"/>
      <c r="F119" s="355"/>
      <c r="G119" s="182"/>
      <c r="H119" s="355"/>
      <c r="I119" s="183"/>
      <c r="J119" s="183"/>
      <c r="K119" s="489"/>
      <c r="L119" s="487"/>
      <c r="M119" s="507"/>
      <c r="N119" s="1217"/>
      <c r="O119" s="1218"/>
      <c r="P119" s="485"/>
      <c r="Q119" s="485"/>
      <c r="R119" s="505"/>
      <c r="S119" s="505"/>
      <c r="T119" s="1219"/>
      <c r="U119" s="1219"/>
      <c r="V119" s="507"/>
      <c r="W119" s="507"/>
      <c r="X119" s="1258"/>
      <c r="Y119" s="942"/>
    </row>
    <row r="120" spans="1:25" ht="66" customHeight="1">
      <c r="A120" s="507"/>
      <c r="B120" s="948">
        <v>53010020004</v>
      </c>
      <c r="C120" s="504" t="s">
        <v>103</v>
      </c>
      <c r="D120" s="507" t="s">
        <v>821</v>
      </c>
      <c r="E120" s="513"/>
      <c r="F120" s="507"/>
      <c r="G120" s="507"/>
      <c r="H120" s="508"/>
      <c r="I120" s="507"/>
      <c r="J120" s="507"/>
      <c r="K120" s="507"/>
      <c r="L120" s="507"/>
      <c r="M120" s="507"/>
      <c r="N120" s="1220"/>
      <c r="O120" s="1220"/>
      <c r="P120" s="505"/>
      <c r="Q120" s="505"/>
      <c r="R120" s="505"/>
      <c r="S120" s="505"/>
      <c r="T120" s="1219"/>
      <c r="U120" s="1219"/>
      <c r="V120" s="506"/>
      <c r="W120" s="507"/>
      <c r="X120" s="1258"/>
      <c r="Y120" s="508"/>
    </row>
    <row r="121" spans="1:25">
      <c r="A121" s="2935">
        <v>4133</v>
      </c>
      <c r="B121" s="192"/>
      <c r="C121" s="2935" t="s">
        <v>109</v>
      </c>
      <c r="D121" s="2933" t="s">
        <v>822</v>
      </c>
      <c r="E121" s="182" t="s">
        <v>823</v>
      </c>
      <c r="F121" s="355"/>
      <c r="G121" s="353"/>
      <c r="H121" s="355"/>
      <c r="I121" s="353"/>
      <c r="J121" s="355"/>
      <c r="K121" s="357">
        <f>K122</f>
        <v>53720</v>
      </c>
      <c r="L121" s="487">
        <f>SUM(L122:L123)</f>
        <v>1</v>
      </c>
      <c r="M121" s="507"/>
      <c r="N121" s="1220">
        <f>SUM(N122:N123)</f>
        <v>0.17059751126367731</v>
      </c>
      <c r="O121" s="2934">
        <f>IF(Q121&gt;0,N121,"na")</f>
        <v>0.17059751126367731</v>
      </c>
      <c r="P121" s="505">
        <f>SUM(P122:P123)</f>
        <v>835000000</v>
      </c>
      <c r="Q121" s="505">
        <f t="shared" ref="Q121:S121" si="54">SUM(Q122:Q123)</f>
        <v>835000000</v>
      </c>
      <c r="R121" s="505">
        <f t="shared" si="54"/>
        <v>359898500</v>
      </c>
      <c r="S121" s="505">
        <f t="shared" si="54"/>
        <v>256948500</v>
      </c>
      <c r="T121" s="1219">
        <f>+IF(Q121=0,0,R121/Q121)</f>
        <v>0.43101616766467066</v>
      </c>
      <c r="U121" s="1219">
        <f>+IF(R121=0,0,S121/R121)</f>
        <v>0.71394712675935024</v>
      </c>
      <c r="V121" s="506"/>
      <c r="W121" s="507"/>
      <c r="X121" s="1258"/>
      <c r="Y121" s="2929" t="s">
        <v>634</v>
      </c>
    </row>
    <row r="122" spans="1:25" ht="40.5">
      <c r="A122" s="2935"/>
      <c r="B122" s="192"/>
      <c r="C122" s="2935"/>
      <c r="D122" s="2933"/>
      <c r="E122" s="183" t="s">
        <v>824</v>
      </c>
      <c r="F122" s="355"/>
      <c r="G122" s="2933" t="s">
        <v>825</v>
      </c>
      <c r="H122" s="2932"/>
      <c r="I122" s="183" t="s">
        <v>826</v>
      </c>
      <c r="J122" s="183" t="s">
        <v>827</v>
      </c>
      <c r="K122" s="357">
        <v>53720</v>
      </c>
      <c r="L122" s="487">
        <v>0.85</v>
      </c>
      <c r="M122" s="507">
        <v>7836</v>
      </c>
      <c r="N122" s="1217">
        <f t="shared" ref="N122:N123" si="55">(M122/K122)*L122</f>
        <v>0.12398734177215189</v>
      </c>
      <c r="O122" s="2934"/>
      <c r="P122" s="485">
        <v>614070800</v>
      </c>
      <c r="Q122" s="485">
        <v>614070800</v>
      </c>
      <c r="R122" s="505">
        <v>310058500</v>
      </c>
      <c r="S122" s="505">
        <v>221566500</v>
      </c>
      <c r="T122" s="1219">
        <f t="shared" ref="T122:U123" si="56">+IF(Q122=0,0,R122/Q122)</f>
        <v>0.50492304796124488</v>
      </c>
      <c r="U122" s="1219">
        <f t="shared" si="56"/>
        <v>0.71459579401951567</v>
      </c>
      <c r="V122" s="506">
        <v>45317</v>
      </c>
      <c r="W122" s="506">
        <v>45657</v>
      </c>
      <c r="X122" s="1258" t="s">
        <v>4850</v>
      </c>
      <c r="Y122" s="2930"/>
    </row>
    <row r="123" spans="1:25" ht="81">
      <c r="A123" s="2935"/>
      <c r="B123" s="192"/>
      <c r="C123" s="2935"/>
      <c r="D123" s="2933"/>
      <c r="E123" s="183" t="s">
        <v>828</v>
      </c>
      <c r="F123" s="355"/>
      <c r="G123" s="2971"/>
      <c r="H123" s="2932"/>
      <c r="I123" s="183" t="s">
        <v>829</v>
      </c>
      <c r="J123" s="183" t="s">
        <v>679</v>
      </c>
      <c r="K123" s="357">
        <v>5310</v>
      </c>
      <c r="L123" s="487">
        <v>0.15</v>
      </c>
      <c r="M123" s="507">
        <v>1650</v>
      </c>
      <c r="N123" s="1217">
        <f t="shared" si="55"/>
        <v>4.6610169491525424E-2</v>
      </c>
      <c r="O123" s="2934"/>
      <c r="P123" s="485">
        <v>220929200</v>
      </c>
      <c r="Q123" s="485">
        <v>220929200</v>
      </c>
      <c r="R123" s="505">
        <v>49840000</v>
      </c>
      <c r="S123" s="505">
        <v>35382000</v>
      </c>
      <c r="T123" s="1219">
        <f t="shared" si="56"/>
        <v>0.22559263329609666</v>
      </c>
      <c r="U123" s="1219">
        <f t="shared" si="56"/>
        <v>0.70991171749598714</v>
      </c>
      <c r="V123" s="506">
        <v>45318</v>
      </c>
      <c r="W123" s="506">
        <v>45657</v>
      </c>
      <c r="X123" s="1258" t="s">
        <v>830</v>
      </c>
      <c r="Y123" s="2931"/>
    </row>
    <row r="124" spans="1:25" ht="16.5" customHeight="1">
      <c r="A124" s="507"/>
      <c r="B124" s="1246">
        <v>5301003</v>
      </c>
      <c r="C124" s="1246" t="s">
        <v>102</v>
      </c>
      <c r="D124" s="1247" t="s">
        <v>831</v>
      </c>
      <c r="E124" s="513"/>
      <c r="F124" s="507"/>
      <c r="G124" s="507"/>
      <c r="H124" s="507"/>
      <c r="I124" s="507"/>
      <c r="J124" s="508"/>
      <c r="K124" s="507"/>
      <c r="L124" s="507"/>
      <c r="M124" s="507"/>
      <c r="N124" s="1220"/>
      <c r="O124" s="1220"/>
      <c r="P124" s="505"/>
      <c r="Q124" s="505"/>
      <c r="R124" s="505"/>
      <c r="S124" s="505"/>
      <c r="T124" s="1219"/>
      <c r="U124" s="1219"/>
      <c r="V124" s="506"/>
      <c r="W124" s="507"/>
      <c r="X124" s="1258"/>
      <c r="Y124" s="508"/>
    </row>
    <row r="125" spans="1:25" ht="66" customHeight="1">
      <c r="A125" s="507"/>
      <c r="B125" s="612">
        <v>53010030001</v>
      </c>
      <c r="C125" s="508" t="s">
        <v>103</v>
      </c>
      <c r="D125" s="507" t="s">
        <v>832</v>
      </c>
      <c r="E125" s="513"/>
      <c r="F125" s="507"/>
      <c r="G125" s="507"/>
      <c r="H125" s="507"/>
      <c r="I125" s="507"/>
      <c r="J125" s="508"/>
      <c r="K125" s="507"/>
      <c r="L125" s="507"/>
      <c r="M125" s="507"/>
      <c r="N125" s="1220"/>
      <c r="O125" s="1220"/>
      <c r="P125" s="505"/>
      <c r="Q125" s="505"/>
      <c r="R125" s="505"/>
      <c r="S125" s="505"/>
      <c r="T125" s="1219"/>
      <c r="U125" s="1219"/>
      <c r="V125" s="506"/>
      <c r="W125" s="507"/>
      <c r="X125" s="1258"/>
      <c r="Y125" s="508"/>
    </row>
    <row r="126" spans="1:25">
      <c r="A126" s="2935">
        <v>4133</v>
      </c>
      <c r="B126" s="192"/>
      <c r="C126" s="2935" t="s">
        <v>109</v>
      </c>
      <c r="D126" s="2933" t="s">
        <v>833</v>
      </c>
      <c r="E126" s="182" t="s">
        <v>834</v>
      </c>
      <c r="F126" s="192"/>
      <c r="G126" s="182"/>
      <c r="H126" s="192"/>
      <c r="I126" s="183"/>
      <c r="J126" s="183"/>
      <c r="K126" s="489">
        <v>2</v>
      </c>
      <c r="L126" s="487">
        <f>SUM(L127:L128)</f>
        <v>1</v>
      </c>
      <c r="M126" s="507"/>
      <c r="N126" s="1220">
        <f>SUM(N127:N128)</f>
        <v>0.55000000000000004</v>
      </c>
      <c r="O126" s="2934">
        <f>IF(Q126&gt;0,N126,"na")</f>
        <v>0.55000000000000004</v>
      </c>
      <c r="P126" s="505">
        <f>SUM(P127:P128)</f>
        <v>220000000</v>
      </c>
      <c r="Q126" s="505">
        <f t="shared" ref="Q126:S126" si="57">SUM(Q127:Q128)</f>
        <v>220000000</v>
      </c>
      <c r="R126" s="505">
        <f t="shared" si="57"/>
        <v>190832500</v>
      </c>
      <c r="S126" s="505">
        <f t="shared" si="57"/>
        <v>138634500</v>
      </c>
      <c r="T126" s="1219">
        <f>+IF(Q126=0,0,R126/Q126)</f>
        <v>0.86742045454545458</v>
      </c>
      <c r="U126" s="1219">
        <f>+IF(R126=0,0,S126/R126)</f>
        <v>0.72647216800073366</v>
      </c>
      <c r="V126" s="506"/>
      <c r="W126" s="507"/>
      <c r="X126" s="1258"/>
      <c r="Y126" s="2929" t="s">
        <v>673</v>
      </c>
    </row>
    <row r="127" spans="1:25" ht="67.5">
      <c r="A127" s="2935"/>
      <c r="B127" s="192"/>
      <c r="C127" s="2935"/>
      <c r="D127" s="2933"/>
      <c r="E127" s="183" t="s">
        <v>835</v>
      </c>
      <c r="F127" s="192"/>
      <c r="G127" s="2933" t="s">
        <v>836</v>
      </c>
      <c r="H127" s="2935"/>
      <c r="I127" s="183" t="s">
        <v>837</v>
      </c>
      <c r="J127" s="183" t="s">
        <v>838</v>
      </c>
      <c r="K127" s="489">
        <v>1</v>
      </c>
      <c r="L127" s="487">
        <v>0.25</v>
      </c>
      <c r="M127" s="507">
        <v>0.7</v>
      </c>
      <c r="N127" s="1217">
        <f t="shared" ref="N127:N128" si="58">(M127/K127)*L127</f>
        <v>0.17499999999999999</v>
      </c>
      <c r="O127" s="2934"/>
      <c r="P127" s="485">
        <v>66870000</v>
      </c>
      <c r="Q127" s="485">
        <v>66870000</v>
      </c>
      <c r="R127" s="505">
        <v>62692500</v>
      </c>
      <c r="S127" s="505">
        <v>57461500</v>
      </c>
      <c r="T127" s="1219">
        <f t="shared" ref="T127:U128" si="59">+IF(Q127=0,0,R127/Q127)</f>
        <v>0.93752803947958729</v>
      </c>
      <c r="U127" s="1219">
        <f t="shared" si="59"/>
        <v>0.91656099214419584</v>
      </c>
      <c r="V127" s="506">
        <v>45361</v>
      </c>
      <c r="W127" s="506">
        <v>45657</v>
      </c>
      <c r="X127" s="1258" t="s">
        <v>4851</v>
      </c>
      <c r="Y127" s="2930"/>
    </row>
    <row r="128" spans="1:25" ht="81">
      <c r="A128" s="2935"/>
      <c r="B128" s="192"/>
      <c r="C128" s="2935"/>
      <c r="D128" s="2933"/>
      <c r="E128" s="183" t="s">
        <v>839</v>
      </c>
      <c r="F128" s="192"/>
      <c r="G128" s="2933"/>
      <c r="H128" s="2935"/>
      <c r="I128" s="183" t="s">
        <v>840</v>
      </c>
      <c r="J128" s="183" t="s">
        <v>838</v>
      </c>
      <c r="K128" s="489">
        <v>2</v>
      </c>
      <c r="L128" s="487">
        <v>0.75</v>
      </c>
      <c r="M128" s="507">
        <v>1</v>
      </c>
      <c r="N128" s="1217">
        <f t="shared" si="58"/>
        <v>0.375</v>
      </c>
      <c r="O128" s="2934"/>
      <c r="P128" s="485">
        <v>153130000</v>
      </c>
      <c r="Q128" s="485">
        <v>153130000</v>
      </c>
      <c r="R128" s="505">
        <v>128140000</v>
      </c>
      <c r="S128" s="505">
        <v>81173000</v>
      </c>
      <c r="T128" s="1219">
        <f t="shared" si="59"/>
        <v>0.83680532880559</v>
      </c>
      <c r="U128" s="1219">
        <f t="shared" si="59"/>
        <v>0.63347120337131257</v>
      </c>
      <c r="V128" s="506">
        <v>45319</v>
      </c>
      <c r="W128" s="506">
        <v>45657</v>
      </c>
      <c r="X128" s="1258" t="s">
        <v>4852</v>
      </c>
      <c r="Y128" s="2931"/>
    </row>
    <row r="129" spans="1:25" ht="27">
      <c r="A129" s="507"/>
      <c r="B129" s="508">
        <v>53010030002</v>
      </c>
      <c r="C129" s="508" t="s">
        <v>103</v>
      </c>
      <c r="D129" s="507" t="s">
        <v>841</v>
      </c>
      <c r="E129" s="513"/>
      <c r="F129" s="507"/>
      <c r="G129" s="507"/>
      <c r="H129" s="507"/>
      <c r="I129" s="507"/>
      <c r="J129" s="508"/>
      <c r="K129" s="507"/>
      <c r="L129" s="507"/>
      <c r="M129" s="507"/>
      <c r="N129" s="1220"/>
      <c r="O129" s="1220"/>
      <c r="P129" s="505"/>
      <c r="Q129" s="505"/>
      <c r="R129" s="505"/>
      <c r="S129" s="505"/>
      <c r="T129" s="1219"/>
      <c r="U129" s="1219"/>
      <c r="V129" s="506"/>
      <c r="W129" s="507"/>
      <c r="X129" s="1258"/>
      <c r="Y129" s="508"/>
    </row>
    <row r="130" spans="1:25" ht="14.45" customHeight="1">
      <c r="A130" s="2935">
        <v>4133</v>
      </c>
      <c r="B130" s="192"/>
      <c r="C130" s="2935" t="s">
        <v>109</v>
      </c>
      <c r="D130" s="2933" t="s">
        <v>842</v>
      </c>
      <c r="E130" s="182" t="s">
        <v>843</v>
      </c>
      <c r="F130" s="192"/>
      <c r="G130" s="182"/>
      <c r="H130" s="491"/>
      <c r="I130" s="183"/>
      <c r="J130" s="183"/>
      <c r="K130" s="489">
        <f>+K131</f>
        <v>32</v>
      </c>
      <c r="L130" s="487">
        <f>SUM(L131:L132)</f>
        <v>1</v>
      </c>
      <c r="M130" s="507"/>
      <c r="N130" s="1220">
        <f>SUM(N131:N132)</f>
        <v>0.578125</v>
      </c>
      <c r="O130" s="2934">
        <f>IF(Q130&gt;0,N130,"na")</f>
        <v>0.578125</v>
      </c>
      <c r="P130" s="505">
        <f>SUM(P131:P132)</f>
        <v>620000000</v>
      </c>
      <c r="Q130" s="505">
        <f t="shared" ref="Q130:S130" si="60">SUM(Q131:Q132)</f>
        <v>890000000</v>
      </c>
      <c r="R130" s="505">
        <f t="shared" si="60"/>
        <v>570042108</v>
      </c>
      <c r="S130" s="505">
        <f t="shared" si="60"/>
        <v>363342500</v>
      </c>
      <c r="T130" s="1219">
        <f>+IF(Q130=0,0,R130/Q130)</f>
        <v>0.64049675056179778</v>
      </c>
      <c r="U130" s="1219">
        <f>+IF(R130=0,0,S130/R130)</f>
        <v>0.63739589567302635</v>
      </c>
      <c r="V130" s="506"/>
      <c r="W130" s="507"/>
      <c r="X130" s="1258"/>
      <c r="Y130" s="2929" t="s">
        <v>634</v>
      </c>
    </row>
    <row r="131" spans="1:25" ht="202.5">
      <c r="A131" s="2935"/>
      <c r="B131" s="192"/>
      <c r="C131" s="2935"/>
      <c r="D131" s="2933"/>
      <c r="E131" s="183" t="s">
        <v>844</v>
      </c>
      <c r="F131" s="192"/>
      <c r="G131" s="2933" t="s">
        <v>845</v>
      </c>
      <c r="H131" s="2936"/>
      <c r="I131" s="183" t="s">
        <v>4853</v>
      </c>
      <c r="J131" s="183" t="s">
        <v>846</v>
      </c>
      <c r="K131" s="489">
        <v>32</v>
      </c>
      <c r="L131" s="487">
        <v>0.5</v>
      </c>
      <c r="M131" s="507">
        <v>29</v>
      </c>
      <c r="N131" s="1217">
        <f t="shared" ref="N131" si="61">(M131/K131)*L131</f>
        <v>0.453125</v>
      </c>
      <c r="O131" s="2934"/>
      <c r="P131" s="485">
        <v>407474100</v>
      </c>
      <c r="Q131" s="485">
        <v>526762100</v>
      </c>
      <c r="R131" s="505">
        <v>377399108</v>
      </c>
      <c r="S131" s="505">
        <v>240328500</v>
      </c>
      <c r="T131" s="1219">
        <f t="shared" ref="T131:U132" si="62">+IF(Q131=0,0,R131/Q131)</f>
        <v>0.71645076211823133</v>
      </c>
      <c r="U131" s="1219">
        <f t="shared" si="62"/>
        <v>0.63680198205449923</v>
      </c>
      <c r="V131" s="506">
        <v>45313</v>
      </c>
      <c r="W131" s="506">
        <v>45657</v>
      </c>
      <c r="X131" s="1259" t="s">
        <v>4854</v>
      </c>
      <c r="Y131" s="2930"/>
    </row>
    <row r="132" spans="1:25" ht="243">
      <c r="A132" s="2935"/>
      <c r="B132" s="192"/>
      <c r="C132" s="2935"/>
      <c r="D132" s="2933"/>
      <c r="E132" s="183" t="s">
        <v>847</v>
      </c>
      <c r="F132" s="192"/>
      <c r="G132" s="2933"/>
      <c r="H132" s="2936"/>
      <c r="I132" s="183" t="s">
        <v>848</v>
      </c>
      <c r="J132" s="183" t="s">
        <v>849</v>
      </c>
      <c r="K132" s="489">
        <v>1</v>
      </c>
      <c r="L132" s="487">
        <v>0.5</v>
      </c>
      <c r="M132" s="507">
        <v>1</v>
      </c>
      <c r="N132" s="1217">
        <f>((M132/K132)*L132)/4</f>
        <v>0.125</v>
      </c>
      <c r="O132" s="2934"/>
      <c r="P132" s="485">
        <v>212525900</v>
      </c>
      <c r="Q132" s="485">
        <v>363237900</v>
      </c>
      <c r="R132" s="505">
        <v>192643000</v>
      </c>
      <c r="S132" s="505">
        <v>123014000</v>
      </c>
      <c r="T132" s="1219">
        <f t="shared" si="62"/>
        <v>0.53034939360677946</v>
      </c>
      <c r="U132" s="1219">
        <f t="shared" si="62"/>
        <v>0.63855940781653109</v>
      </c>
      <c r="V132" s="506">
        <v>45313</v>
      </c>
      <c r="W132" s="506">
        <v>45657</v>
      </c>
      <c r="X132" s="1259" t="s">
        <v>4855</v>
      </c>
      <c r="Y132" s="2931"/>
    </row>
    <row r="133" spans="1:25" ht="27">
      <c r="A133" s="507"/>
      <c r="B133" s="508">
        <v>53010030003</v>
      </c>
      <c r="C133" s="192" t="s">
        <v>103</v>
      </c>
      <c r="D133" s="182" t="s">
        <v>850</v>
      </c>
      <c r="E133" s="513"/>
      <c r="F133" s="507"/>
      <c r="G133" s="507"/>
      <c r="H133" s="507"/>
      <c r="I133" s="507"/>
      <c r="J133" s="508"/>
      <c r="K133" s="507"/>
      <c r="L133" s="507"/>
      <c r="M133" s="507"/>
      <c r="N133" s="1220"/>
      <c r="O133" s="1220"/>
      <c r="P133" s="505"/>
      <c r="Q133" s="505"/>
      <c r="R133" s="505"/>
      <c r="S133" s="505"/>
      <c r="T133" s="1219"/>
      <c r="U133" s="1219"/>
      <c r="V133" s="506"/>
      <c r="W133" s="507"/>
      <c r="X133" s="1258"/>
      <c r="Y133" s="508"/>
    </row>
    <row r="134" spans="1:25" ht="16.5" customHeight="1">
      <c r="A134" s="2935">
        <v>4133</v>
      </c>
      <c r="B134" s="192"/>
      <c r="C134" s="2935" t="s">
        <v>109</v>
      </c>
      <c r="D134" s="2933" t="s">
        <v>851</v>
      </c>
      <c r="E134" s="182" t="s">
        <v>852</v>
      </c>
      <c r="F134" s="192"/>
      <c r="G134" s="182"/>
      <c r="H134" s="192"/>
      <c r="I134" s="183"/>
      <c r="J134" s="183"/>
      <c r="K134" s="182">
        <f>K135</f>
        <v>1</v>
      </c>
      <c r="L134" s="197">
        <f>SUM(L135)</f>
        <v>1</v>
      </c>
      <c r="M134" s="507"/>
      <c r="N134" s="1220">
        <f>SUM(N135)</f>
        <v>0.25</v>
      </c>
      <c r="O134" s="2934">
        <f>IF(Q134&gt;0,N134,"na")</f>
        <v>0.25</v>
      </c>
      <c r="P134" s="505">
        <f>SUM(P135)</f>
        <v>320000000</v>
      </c>
      <c r="Q134" s="505">
        <f t="shared" ref="Q134:S134" si="63">SUM(Q135)</f>
        <v>461871286</v>
      </c>
      <c r="R134" s="505">
        <f t="shared" si="63"/>
        <v>271108500</v>
      </c>
      <c r="S134" s="505">
        <f t="shared" si="63"/>
        <v>150823500</v>
      </c>
      <c r="T134" s="1219">
        <f>+IF(Q134=0,0,R134/Q134)</f>
        <v>0.58697846828261158</v>
      </c>
      <c r="U134" s="1219">
        <f>+IF(R134=0,0,S134/R134)</f>
        <v>0.55632154653948507</v>
      </c>
      <c r="V134" s="506"/>
      <c r="W134" s="507"/>
      <c r="X134" s="1258"/>
      <c r="Y134" s="2929" t="s">
        <v>634</v>
      </c>
    </row>
    <row r="135" spans="1:25" ht="94.5">
      <c r="A135" s="2935"/>
      <c r="B135" s="192"/>
      <c r="C135" s="2935"/>
      <c r="D135" s="2933"/>
      <c r="E135" s="183" t="s">
        <v>853</v>
      </c>
      <c r="F135" s="192"/>
      <c r="G135" s="182" t="s">
        <v>854</v>
      </c>
      <c r="H135" s="192"/>
      <c r="I135" s="183" t="s">
        <v>855</v>
      </c>
      <c r="J135" s="183" t="s">
        <v>856</v>
      </c>
      <c r="K135" s="182">
        <v>1</v>
      </c>
      <c r="L135" s="197">
        <v>1</v>
      </c>
      <c r="M135" s="507">
        <v>1</v>
      </c>
      <c r="N135" s="1217">
        <f>((M135/K135)*L135)/4</f>
        <v>0.25</v>
      </c>
      <c r="O135" s="2934"/>
      <c r="P135" s="485">
        <v>320000000</v>
      </c>
      <c r="Q135" s="485">
        <v>461871286</v>
      </c>
      <c r="R135" s="505">
        <v>271108500</v>
      </c>
      <c r="S135" s="505">
        <v>150823500</v>
      </c>
      <c r="T135" s="1219">
        <f t="shared" ref="T135:U135" si="64">+IF(Q135=0,0,R135/Q135)</f>
        <v>0.58697846828261158</v>
      </c>
      <c r="U135" s="1219">
        <f t="shared" si="64"/>
        <v>0.55632154653948507</v>
      </c>
      <c r="V135" s="506">
        <v>45318</v>
      </c>
      <c r="W135" s="506">
        <v>45657</v>
      </c>
      <c r="X135" s="1258" t="s">
        <v>4856</v>
      </c>
      <c r="Y135" s="2931"/>
    </row>
    <row r="136" spans="1:25">
      <c r="A136" s="192"/>
      <c r="B136" s="192"/>
      <c r="C136" s="192"/>
      <c r="D136" s="183"/>
      <c r="E136" s="183"/>
      <c r="F136" s="192"/>
      <c r="G136" s="182"/>
      <c r="H136" s="192"/>
      <c r="I136" s="183"/>
      <c r="J136" s="183"/>
      <c r="K136" s="182"/>
      <c r="L136" s="197"/>
      <c r="M136" s="507"/>
      <c r="N136" s="1217"/>
      <c r="O136" s="1218"/>
      <c r="P136" s="485"/>
      <c r="Q136" s="485"/>
      <c r="R136" s="505"/>
      <c r="S136" s="505"/>
      <c r="T136" s="1219"/>
      <c r="U136" s="1219"/>
      <c r="V136" s="506"/>
      <c r="W136" s="506"/>
      <c r="X136" s="1258"/>
      <c r="Y136" s="941"/>
    </row>
    <row r="137" spans="1:25">
      <c r="A137" s="2935">
        <v>4133</v>
      </c>
      <c r="B137" s="192"/>
      <c r="C137" s="2935" t="s">
        <v>109</v>
      </c>
      <c r="D137" s="2933" t="s">
        <v>857</v>
      </c>
      <c r="E137" s="182" t="s">
        <v>858</v>
      </c>
      <c r="F137" s="192"/>
      <c r="G137" s="182"/>
      <c r="H137" s="192"/>
      <c r="I137" s="183"/>
      <c r="J137" s="183"/>
      <c r="K137" s="182">
        <f>K138</f>
        <v>37</v>
      </c>
      <c r="L137" s="197">
        <f>SUM(L138:L138)</f>
        <v>1</v>
      </c>
      <c r="M137" s="507"/>
      <c r="N137" s="1220">
        <f>SUM(N138:N138)</f>
        <v>0.70270270270270274</v>
      </c>
      <c r="O137" s="2934">
        <f>IF(Q137&gt;0,N137,"na")</f>
        <v>0.70270270270270274</v>
      </c>
      <c r="P137" s="505">
        <f>SUM(P138:P138)</f>
        <v>255000000</v>
      </c>
      <c r="Q137" s="505">
        <f>SUM(Q138:Q138)</f>
        <v>345000000</v>
      </c>
      <c r="R137" s="505">
        <f>SUM(R138:R138)</f>
        <v>220452000</v>
      </c>
      <c r="S137" s="505">
        <f>SUM(S138:S138)</f>
        <v>124214000</v>
      </c>
      <c r="T137" s="1219">
        <f>+IF(Q137=0,0,R137/Q137)</f>
        <v>0.63899130434782614</v>
      </c>
      <c r="U137" s="1219">
        <f>+IF(R137=0,0,S137/R137)</f>
        <v>0.56345145428483301</v>
      </c>
      <c r="V137" s="506"/>
      <c r="W137" s="507"/>
      <c r="X137" s="1258"/>
      <c r="Y137" s="2929" t="s">
        <v>634</v>
      </c>
    </row>
    <row r="138" spans="1:25" ht="16.5" customHeight="1">
      <c r="A138" s="2935"/>
      <c r="B138" s="192"/>
      <c r="C138" s="2935"/>
      <c r="D138" s="2933"/>
      <c r="E138" s="183" t="s">
        <v>859</v>
      </c>
      <c r="F138" s="192"/>
      <c r="G138" s="182" t="s">
        <v>854</v>
      </c>
      <c r="H138" s="192"/>
      <c r="I138" s="183" t="s">
        <v>4857</v>
      </c>
      <c r="J138" s="183" t="s">
        <v>860</v>
      </c>
      <c r="K138" s="182">
        <v>37</v>
      </c>
      <c r="L138" s="197">
        <v>1</v>
      </c>
      <c r="M138" s="507">
        <v>26</v>
      </c>
      <c r="N138" s="1217">
        <f t="shared" ref="N138" si="65">(M138/K138)*L138</f>
        <v>0.70270270270270274</v>
      </c>
      <c r="O138" s="2934"/>
      <c r="P138" s="485">
        <v>255000000</v>
      </c>
      <c r="Q138" s="485">
        <v>345000000</v>
      </c>
      <c r="R138" s="505">
        <v>220452000</v>
      </c>
      <c r="S138" s="505">
        <v>124214000</v>
      </c>
      <c r="T138" s="1219">
        <f t="shared" ref="T138:U138" si="66">+IF(Q138=0,0,R138/Q138)</f>
        <v>0.63899130434782614</v>
      </c>
      <c r="U138" s="1219">
        <f t="shared" si="66"/>
        <v>0.56345145428483301</v>
      </c>
      <c r="V138" s="506">
        <v>45316</v>
      </c>
      <c r="W138" s="506">
        <v>45657</v>
      </c>
      <c r="X138" s="1258" t="s">
        <v>4858</v>
      </c>
      <c r="Y138" s="2930"/>
    </row>
    <row r="139" spans="1:25" ht="40.5">
      <c r="A139" s="507"/>
      <c r="B139" s="508">
        <v>53010030007</v>
      </c>
      <c r="C139" s="508" t="s">
        <v>103</v>
      </c>
      <c r="D139" s="507" t="s">
        <v>861</v>
      </c>
      <c r="E139" s="513"/>
      <c r="F139" s="507"/>
      <c r="G139" s="507"/>
      <c r="H139" s="508"/>
      <c r="I139" s="507"/>
      <c r="J139" s="508"/>
      <c r="K139" s="507"/>
      <c r="L139" s="507"/>
      <c r="M139" s="507"/>
      <c r="N139" s="1220"/>
      <c r="O139" s="1220"/>
      <c r="P139" s="505"/>
      <c r="Q139" s="505"/>
      <c r="R139" s="505"/>
      <c r="S139" s="505"/>
      <c r="T139" s="1219"/>
      <c r="U139" s="1219"/>
      <c r="V139" s="506"/>
      <c r="W139" s="507"/>
      <c r="X139" s="1258"/>
      <c r="Y139" s="508"/>
    </row>
    <row r="140" spans="1:25">
      <c r="A140" s="2935">
        <v>4133</v>
      </c>
      <c r="B140" s="192"/>
      <c r="C140" s="2935" t="s">
        <v>109</v>
      </c>
      <c r="D140" s="2933" t="s">
        <v>862</v>
      </c>
      <c r="E140" s="182" t="s">
        <v>863</v>
      </c>
      <c r="F140" s="192"/>
      <c r="G140" s="182"/>
      <c r="H140" s="192"/>
      <c r="I140" s="183"/>
      <c r="J140" s="183"/>
      <c r="K140" s="182">
        <f>+K141</f>
        <v>20000</v>
      </c>
      <c r="L140" s="197">
        <f>SUM(L141:L144)</f>
        <v>1</v>
      </c>
      <c r="M140" s="507"/>
      <c r="N140" s="1220">
        <f>SUM(N141:N144)</f>
        <v>0.17500000000000002</v>
      </c>
      <c r="O140" s="2934">
        <f>IF(Q140&gt;0,N140,"na")</f>
        <v>0.17500000000000002</v>
      </c>
      <c r="P140" s="505">
        <f>SUM(P141:P144)</f>
        <v>210000000</v>
      </c>
      <c r="Q140" s="505">
        <f t="shared" ref="Q140:S140" si="67">SUM(Q141:Q144)</f>
        <v>3392000000</v>
      </c>
      <c r="R140" s="505">
        <f t="shared" si="67"/>
        <v>820147500</v>
      </c>
      <c r="S140" s="505">
        <f t="shared" si="67"/>
        <v>141406000</v>
      </c>
      <c r="T140" s="1219">
        <f>+IF(Q140=0,0,R140/Q140)</f>
        <v>0.24178876768867924</v>
      </c>
      <c r="U140" s="1219">
        <f>+IF(R140=0,0,S140/R140)</f>
        <v>0.17241532773068258</v>
      </c>
      <c r="V140" s="506"/>
      <c r="W140" s="507"/>
      <c r="X140" s="1258"/>
      <c r="Y140" s="2929" t="s">
        <v>673</v>
      </c>
    </row>
    <row r="141" spans="1:25" ht="40.5">
      <c r="A141" s="2935"/>
      <c r="B141" s="192"/>
      <c r="C141" s="2935"/>
      <c r="D141" s="2933"/>
      <c r="E141" s="183" t="s">
        <v>4859</v>
      </c>
      <c r="F141" s="192"/>
      <c r="G141" s="2933" t="s">
        <v>865</v>
      </c>
      <c r="H141" s="2935"/>
      <c r="I141" s="183" t="s">
        <v>4860</v>
      </c>
      <c r="J141" s="183" t="s">
        <v>106</v>
      </c>
      <c r="K141" s="182">
        <v>20000</v>
      </c>
      <c r="L141" s="197">
        <v>0.66</v>
      </c>
      <c r="M141" s="507">
        <v>0</v>
      </c>
      <c r="N141" s="1217">
        <f t="shared" ref="N141:N144" si="68">(M141/K141)*L141</f>
        <v>0</v>
      </c>
      <c r="O141" s="2934"/>
      <c r="P141" s="485">
        <v>0</v>
      </c>
      <c r="Q141" s="485">
        <v>2147350000</v>
      </c>
      <c r="R141" s="505">
        <v>0</v>
      </c>
      <c r="S141" s="505">
        <v>0</v>
      </c>
      <c r="T141" s="1219">
        <f t="shared" ref="T141:U144" si="69">+IF(Q141=0,0,R141/Q141)</f>
        <v>0</v>
      </c>
      <c r="U141" s="1219">
        <f t="shared" si="69"/>
        <v>0</v>
      </c>
      <c r="V141" s="506"/>
      <c r="W141" s="506"/>
      <c r="X141" s="1258"/>
      <c r="Y141" s="2930"/>
    </row>
    <row r="142" spans="1:25" ht="14.45" customHeight="1">
      <c r="A142" s="2935"/>
      <c r="B142" s="192"/>
      <c r="C142" s="2935"/>
      <c r="D142" s="2933"/>
      <c r="E142" s="183" t="s">
        <v>864</v>
      </c>
      <c r="F142" s="192"/>
      <c r="G142" s="2933"/>
      <c r="H142" s="2935"/>
      <c r="I142" s="183" t="s">
        <v>866</v>
      </c>
      <c r="J142" s="183" t="s">
        <v>867</v>
      </c>
      <c r="K142" s="182">
        <v>2</v>
      </c>
      <c r="L142" s="197">
        <v>0.01</v>
      </c>
      <c r="M142" s="507">
        <v>1</v>
      </c>
      <c r="N142" s="1227">
        <f>(M142/K142)*L142</f>
        <v>5.0000000000000001E-3</v>
      </c>
      <c r="O142" s="2934"/>
      <c r="P142" s="485">
        <v>50062000</v>
      </c>
      <c r="Q142" s="485">
        <v>50062000</v>
      </c>
      <c r="R142" s="505">
        <v>42086000</v>
      </c>
      <c r="S142" s="505">
        <v>36855000</v>
      </c>
      <c r="T142" s="1219">
        <f t="shared" si="69"/>
        <v>0.84067755982581593</v>
      </c>
      <c r="U142" s="1219">
        <f t="shared" si="69"/>
        <v>0.87570688590029944</v>
      </c>
      <c r="V142" s="506">
        <v>45360</v>
      </c>
      <c r="W142" s="506">
        <v>45657</v>
      </c>
      <c r="X142" s="1258" t="s">
        <v>4861</v>
      </c>
      <c r="Y142" s="2930"/>
    </row>
    <row r="143" spans="1:25" ht="81">
      <c r="A143" s="2935"/>
      <c r="B143" s="192"/>
      <c r="C143" s="2935"/>
      <c r="D143" s="2933"/>
      <c r="E143" s="183" t="s">
        <v>868</v>
      </c>
      <c r="F143" s="192"/>
      <c r="G143" s="2933"/>
      <c r="H143" s="2935"/>
      <c r="I143" s="183" t="s">
        <v>869</v>
      </c>
      <c r="J143" s="183" t="s">
        <v>870</v>
      </c>
      <c r="K143" s="182">
        <v>1</v>
      </c>
      <c r="L143" s="197">
        <v>0.05</v>
      </c>
      <c r="M143" s="507">
        <v>0.6</v>
      </c>
      <c r="N143" s="1227">
        <f>(M143/K143)*L143</f>
        <v>0.03</v>
      </c>
      <c r="O143" s="2934"/>
      <c r="P143" s="485">
        <v>159938000</v>
      </c>
      <c r="Q143" s="485">
        <v>159938000</v>
      </c>
      <c r="R143" s="505">
        <v>111342500</v>
      </c>
      <c r="S143" s="505">
        <v>91784500</v>
      </c>
      <c r="T143" s="1219">
        <f t="shared" si="69"/>
        <v>0.6961603871500206</v>
      </c>
      <c r="U143" s="1219">
        <f t="shared" si="69"/>
        <v>0.82434380402811147</v>
      </c>
      <c r="V143" s="506">
        <v>45353</v>
      </c>
      <c r="W143" s="506">
        <v>45657</v>
      </c>
      <c r="X143" s="1258" t="s">
        <v>4862</v>
      </c>
      <c r="Y143" s="2930"/>
    </row>
    <row r="144" spans="1:25" ht="54">
      <c r="A144" s="2935"/>
      <c r="B144" s="192"/>
      <c r="C144" s="2935"/>
      <c r="D144" s="2933"/>
      <c r="E144" s="183" t="s">
        <v>4863</v>
      </c>
      <c r="F144" s="192"/>
      <c r="G144" s="2933"/>
      <c r="H144" s="2935"/>
      <c r="I144" s="183" t="s">
        <v>4864</v>
      </c>
      <c r="J144" s="183" t="s">
        <v>4865</v>
      </c>
      <c r="K144" s="182">
        <v>1</v>
      </c>
      <c r="L144" s="197">
        <v>0.28000000000000003</v>
      </c>
      <c r="M144" s="507">
        <v>0.5</v>
      </c>
      <c r="N144" s="1217">
        <f t="shared" si="68"/>
        <v>0.14000000000000001</v>
      </c>
      <c r="O144" s="2934"/>
      <c r="P144" s="485">
        <v>0</v>
      </c>
      <c r="Q144" s="485">
        <v>1034650000</v>
      </c>
      <c r="R144" s="505">
        <v>666719000</v>
      </c>
      <c r="S144" s="505">
        <v>12766500</v>
      </c>
      <c r="T144" s="1219">
        <f t="shared" si="69"/>
        <v>0.64439085681148212</v>
      </c>
      <c r="U144" s="1219">
        <f t="shared" si="69"/>
        <v>1.9148246862621284E-2</v>
      </c>
      <c r="V144" s="506">
        <v>45361</v>
      </c>
      <c r="W144" s="506">
        <v>45657</v>
      </c>
      <c r="X144" s="1258" t="s">
        <v>4866</v>
      </c>
      <c r="Y144" s="2931"/>
    </row>
    <row r="145" spans="1:25" ht="16.5" customHeight="1">
      <c r="A145" s="331"/>
      <c r="B145" s="612">
        <v>5301004</v>
      </c>
      <c r="C145" s="612" t="s">
        <v>102</v>
      </c>
      <c r="D145" s="331" t="s">
        <v>871</v>
      </c>
      <c r="E145" s="285"/>
      <c r="F145" s="331"/>
      <c r="G145" s="331"/>
      <c r="H145" s="331"/>
      <c r="I145" s="331"/>
      <c r="J145" s="612"/>
      <c r="K145" s="331"/>
      <c r="L145" s="331"/>
      <c r="M145" s="331"/>
      <c r="N145" s="1250"/>
      <c r="O145" s="1250"/>
      <c r="P145" s="333"/>
      <c r="Q145" s="333"/>
      <c r="R145" s="333"/>
      <c r="S145" s="333"/>
      <c r="T145" s="626"/>
      <c r="U145" s="626"/>
      <c r="V145" s="1251"/>
      <c r="W145" s="331"/>
      <c r="X145" s="1260"/>
      <c r="Y145" s="612"/>
    </row>
    <row r="146" spans="1:25">
      <c r="A146" s="507"/>
      <c r="B146" s="612">
        <v>53010040001</v>
      </c>
      <c r="C146" s="508" t="s">
        <v>103</v>
      </c>
      <c r="D146" s="507" t="s">
        <v>872</v>
      </c>
      <c r="E146" s="513"/>
      <c r="F146" s="507"/>
      <c r="G146" s="507"/>
      <c r="H146" s="507"/>
      <c r="I146" s="507"/>
      <c r="J146" s="508"/>
      <c r="K146" s="507"/>
      <c r="L146" s="507"/>
      <c r="M146" s="507"/>
      <c r="N146" s="1220"/>
      <c r="O146" s="1220"/>
      <c r="P146" s="505"/>
      <c r="Q146" s="505"/>
      <c r="R146" s="505"/>
      <c r="S146" s="505"/>
      <c r="T146" s="1219"/>
      <c r="U146" s="1219"/>
      <c r="V146" s="506"/>
      <c r="W146" s="507"/>
      <c r="X146" s="1258"/>
      <c r="Y146" s="508"/>
    </row>
    <row r="147" spans="1:25">
      <c r="A147" s="2935">
        <v>4133</v>
      </c>
      <c r="B147" s="192"/>
      <c r="C147" s="2935" t="s">
        <v>109</v>
      </c>
      <c r="D147" s="2933" t="s">
        <v>873</v>
      </c>
      <c r="E147" s="182" t="s">
        <v>874</v>
      </c>
      <c r="F147" s="192"/>
      <c r="G147" s="182"/>
      <c r="H147" s="192"/>
      <c r="I147" s="183"/>
      <c r="J147" s="183"/>
      <c r="K147" s="182">
        <f>K148</f>
        <v>1</v>
      </c>
      <c r="L147" s="197">
        <f>SUM(L148:L149)</f>
        <v>1</v>
      </c>
      <c r="M147" s="507"/>
      <c r="N147" s="1220">
        <f>SUM(N148:N149)</f>
        <v>0.28999999999999998</v>
      </c>
      <c r="O147" s="2934">
        <f>IF(Q147&gt;0,N147,"na")</f>
        <v>0.28999999999999998</v>
      </c>
      <c r="P147" s="505">
        <f>SUM(P148:P149)</f>
        <v>1813368721</v>
      </c>
      <c r="Q147" s="505">
        <f t="shared" ref="Q147:S147" si="70">SUM(Q148:Q149)</f>
        <v>2100968721</v>
      </c>
      <c r="R147" s="505">
        <f t="shared" si="70"/>
        <v>172372000</v>
      </c>
      <c r="S147" s="505">
        <f t="shared" si="70"/>
        <v>74895000</v>
      </c>
      <c r="T147" s="1219">
        <f>+IF(Q147=0,0,R147/Q147)</f>
        <v>8.2044058189479352E-2</v>
      </c>
      <c r="U147" s="1219">
        <f>+IF(R147=0,0,S147/R147)</f>
        <v>0.43449632190843063</v>
      </c>
      <c r="V147" s="506"/>
      <c r="W147" s="507"/>
      <c r="X147" s="1258"/>
      <c r="Y147" s="2929" t="s">
        <v>673</v>
      </c>
    </row>
    <row r="148" spans="1:25" ht="67.5">
      <c r="A148" s="2935"/>
      <c r="B148" s="192"/>
      <c r="C148" s="2935"/>
      <c r="D148" s="2933"/>
      <c r="E148" s="183" t="s">
        <v>875</v>
      </c>
      <c r="F148" s="192"/>
      <c r="G148" s="2933" t="s">
        <v>876</v>
      </c>
      <c r="H148" s="2935"/>
      <c r="I148" s="183" t="s">
        <v>877</v>
      </c>
      <c r="J148" s="183" t="s">
        <v>878</v>
      </c>
      <c r="K148" s="182">
        <v>1</v>
      </c>
      <c r="L148" s="197">
        <v>0.5</v>
      </c>
      <c r="M148" s="507">
        <v>0</v>
      </c>
      <c r="N148" s="1217">
        <f t="shared" ref="N148:N149" si="71">(M148/K148)*L148</f>
        <v>0</v>
      </c>
      <c r="O148" s="2934"/>
      <c r="P148" s="485">
        <v>822420747</v>
      </c>
      <c r="Q148" s="485">
        <v>1045220747</v>
      </c>
      <c r="R148" s="505">
        <v>0</v>
      </c>
      <c r="S148" s="505">
        <v>0</v>
      </c>
      <c r="T148" s="1219">
        <f t="shared" ref="T148:U149" si="72">+IF(Q148=0,0,R148/Q148)</f>
        <v>0</v>
      </c>
      <c r="U148" s="1219">
        <f t="shared" si="72"/>
        <v>0</v>
      </c>
      <c r="V148" s="507"/>
      <c r="W148" s="507"/>
      <c r="X148" s="1258"/>
      <c r="Y148" s="2930"/>
    </row>
    <row r="149" spans="1:25" ht="54">
      <c r="A149" s="2935"/>
      <c r="B149" s="192"/>
      <c r="C149" s="2935"/>
      <c r="D149" s="2933"/>
      <c r="E149" s="183" t="s">
        <v>879</v>
      </c>
      <c r="F149" s="192"/>
      <c r="G149" s="2933"/>
      <c r="H149" s="2935"/>
      <c r="I149" s="183" t="s">
        <v>880</v>
      </c>
      <c r="J149" s="183" t="s">
        <v>881</v>
      </c>
      <c r="K149" s="182">
        <v>10000</v>
      </c>
      <c r="L149" s="197">
        <v>0.5</v>
      </c>
      <c r="M149" s="507">
        <v>5800</v>
      </c>
      <c r="N149" s="1217">
        <f t="shared" si="71"/>
        <v>0.28999999999999998</v>
      </c>
      <c r="O149" s="2934"/>
      <c r="P149" s="485">
        <v>990947974</v>
      </c>
      <c r="Q149" s="485">
        <v>1055747974</v>
      </c>
      <c r="R149" s="505">
        <v>172372000</v>
      </c>
      <c r="S149" s="505">
        <v>74895000</v>
      </c>
      <c r="T149" s="1219">
        <f t="shared" si="72"/>
        <v>0.16327002679145089</v>
      </c>
      <c r="U149" s="1219">
        <f t="shared" si="72"/>
        <v>0.43449632190843063</v>
      </c>
      <c r="V149" s="506">
        <v>45354</v>
      </c>
      <c r="W149" s="506">
        <v>45657</v>
      </c>
      <c r="X149" s="1258" t="s">
        <v>4867</v>
      </c>
      <c r="Y149" s="2931"/>
    </row>
    <row r="150" spans="1:25" ht="14.45" customHeight="1">
      <c r="A150" s="507"/>
      <c r="B150" s="508">
        <v>5302</v>
      </c>
      <c r="C150" s="192" t="s">
        <v>101</v>
      </c>
      <c r="D150" s="182" t="s">
        <v>882</v>
      </c>
      <c r="E150" s="513"/>
      <c r="F150" s="507"/>
      <c r="G150" s="507"/>
      <c r="H150" s="507"/>
      <c r="I150" s="507"/>
      <c r="J150" s="508"/>
      <c r="K150" s="507"/>
      <c r="L150" s="507"/>
      <c r="M150" s="507"/>
      <c r="N150" s="1220"/>
      <c r="O150" s="1220"/>
      <c r="P150" s="505"/>
      <c r="Q150" s="505"/>
      <c r="R150" s="505"/>
      <c r="S150" s="505"/>
      <c r="T150" s="1219"/>
      <c r="U150" s="1219"/>
      <c r="V150" s="506"/>
      <c r="W150" s="507"/>
      <c r="X150" s="1258"/>
      <c r="Y150" s="508"/>
    </row>
    <row r="151" spans="1:25">
      <c r="A151" s="507"/>
      <c r="B151" s="508">
        <v>5302001</v>
      </c>
      <c r="C151" s="192" t="s">
        <v>102</v>
      </c>
      <c r="D151" s="182" t="s">
        <v>883</v>
      </c>
      <c r="E151" s="513"/>
      <c r="F151" s="507"/>
      <c r="G151" s="507"/>
      <c r="H151" s="507"/>
      <c r="I151" s="507"/>
      <c r="J151" s="508"/>
      <c r="K151" s="507"/>
      <c r="L151" s="507"/>
      <c r="M151" s="507"/>
      <c r="N151" s="1220"/>
      <c r="O151" s="1220"/>
      <c r="P151" s="505"/>
      <c r="Q151" s="505"/>
      <c r="R151" s="505"/>
      <c r="S151" s="505"/>
      <c r="T151" s="1219"/>
      <c r="U151" s="1219"/>
      <c r="V151" s="506"/>
      <c r="W151" s="507"/>
      <c r="X151" s="1258"/>
      <c r="Y151" s="508"/>
    </row>
    <row r="152" spans="1:25" ht="27">
      <c r="A152" s="507"/>
      <c r="B152" s="508">
        <v>53020010009</v>
      </c>
      <c r="C152" s="192" t="s">
        <v>103</v>
      </c>
      <c r="D152" s="182" t="s">
        <v>884</v>
      </c>
      <c r="E152" s="513"/>
      <c r="F152" s="507"/>
      <c r="G152" s="507"/>
      <c r="H152" s="507"/>
      <c r="I152" s="507"/>
      <c r="J152" s="508"/>
      <c r="K152" s="507"/>
      <c r="L152" s="507"/>
      <c r="M152" s="507"/>
      <c r="N152" s="1220"/>
      <c r="O152" s="1220"/>
      <c r="P152" s="505"/>
      <c r="Q152" s="505"/>
      <c r="R152" s="505"/>
      <c r="S152" s="505"/>
      <c r="T152" s="1219"/>
      <c r="U152" s="1219"/>
      <c r="V152" s="506"/>
      <c r="W152" s="507"/>
      <c r="X152" s="1258"/>
      <c r="Y152" s="508"/>
    </row>
    <row r="153" spans="1:25">
      <c r="A153" s="2935">
        <v>4133</v>
      </c>
      <c r="B153" s="192"/>
      <c r="C153" s="2935" t="s">
        <v>109</v>
      </c>
      <c r="D153" s="2933" t="s">
        <v>885</v>
      </c>
      <c r="E153" s="182" t="s">
        <v>886</v>
      </c>
      <c r="F153" s="192"/>
      <c r="G153" s="182"/>
      <c r="H153" s="192"/>
      <c r="I153" s="183"/>
      <c r="J153" s="183"/>
      <c r="K153" s="182">
        <f>K154</f>
        <v>1128</v>
      </c>
      <c r="L153" s="197">
        <f>SUM(L154:L154)</f>
        <v>1</v>
      </c>
      <c r="M153" s="507"/>
      <c r="N153" s="1220">
        <f>SUM(N154:N154)</f>
        <v>0.48936170212765956</v>
      </c>
      <c r="O153" s="2934">
        <f>IF(Q153&gt;0,N153,"na")</f>
        <v>0.48936170212765956</v>
      </c>
      <c r="P153" s="505">
        <f>SUM(P154)</f>
        <v>435000000</v>
      </c>
      <c r="Q153" s="505">
        <f t="shared" ref="Q153:S153" si="73">SUM(Q154)</f>
        <v>735000000</v>
      </c>
      <c r="R153" s="505">
        <f t="shared" si="73"/>
        <v>431550230</v>
      </c>
      <c r="S153" s="505">
        <f t="shared" si="73"/>
        <v>286816000</v>
      </c>
      <c r="T153" s="1219">
        <f>+IF(Q153=0,0,R153/Q153)</f>
        <v>0.58714317006802719</v>
      </c>
      <c r="U153" s="1219">
        <f>+IF(R153=0,0,S153/R153)</f>
        <v>0.66461788237258035</v>
      </c>
      <c r="V153" s="506"/>
      <c r="W153" s="507"/>
      <c r="X153" s="1258"/>
      <c r="Y153" s="2929" t="s">
        <v>634</v>
      </c>
    </row>
    <row r="154" spans="1:25" ht="16.5" customHeight="1">
      <c r="A154" s="2935"/>
      <c r="B154" s="192"/>
      <c r="C154" s="2935"/>
      <c r="D154" s="2933"/>
      <c r="E154" s="183" t="s">
        <v>887</v>
      </c>
      <c r="F154" s="192"/>
      <c r="G154" s="183" t="s">
        <v>888</v>
      </c>
      <c r="H154" s="192"/>
      <c r="I154" s="183" t="s">
        <v>4868</v>
      </c>
      <c r="J154" s="183" t="s">
        <v>889</v>
      </c>
      <c r="K154" s="182">
        <v>1128</v>
      </c>
      <c r="L154" s="197">
        <v>1</v>
      </c>
      <c r="M154" s="507">
        <v>552</v>
      </c>
      <c r="N154" s="1217">
        <f t="shared" ref="N154" si="74">(M154/K154)*L154</f>
        <v>0.48936170212765956</v>
      </c>
      <c r="O154" s="2934"/>
      <c r="P154" s="485">
        <v>435000000</v>
      </c>
      <c r="Q154" s="485">
        <v>735000000</v>
      </c>
      <c r="R154" s="505">
        <v>431550230</v>
      </c>
      <c r="S154" s="505">
        <v>286816000</v>
      </c>
      <c r="T154" s="1219">
        <f t="shared" ref="T154:U154" si="75">+IF(Q154=0,0,R154/Q154)</f>
        <v>0.58714317006802719</v>
      </c>
      <c r="U154" s="1219">
        <f t="shared" si="75"/>
        <v>0.66461788237258035</v>
      </c>
      <c r="V154" s="506">
        <v>45314</v>
      </c>
      <c r="W154" s="506">
        <v>45657</v>
      </c>
      <c r="X154" s="1258" t="s">
        <v>4869</v>
      </c>
      <c r="Y154" s="2931"/>
    </row>
    <row r="155" spans="1:25">
      <c r="A155" s="507"/>
      <c r="B155" s="508">
        <v>530203</v>
      </c>
      <c r="C155" s="508" t="s">
        <v>102</v>
      </c>
      <c r="D155" s="507" t="s">
        <v>890</v>
      </c>
      <c r="E155" s="513"/>
      <c r="F155" s="507"/>
      <c r="G155" s="507"/>
      <c r="H155" s="507"/>
      <c r="I155" s="507"/>
      <c r="J155" s="508"/>
      <c r="K155" s="507"/>
      <c r="L155" s="507"/>
      <c r="M155" s="507"/>
      <c r="N155" s="1220"/>
      <c r="O155" s="1220"/>
      <c r="P155" s="505"/>
      <c r="Q155" s="505"/>
      <c r="R155" s="505"/>
      <c r="S155" s="505"/>
      <c r="T155" s="1219"/>
      <c r="U155" s="1219"/>
      <c r="V155" s="506"/>
      <c r="W155" s="507"/>
      <c r="X155" s="1258"/>
      <c r="Y155" s="508"/>
    </row>
    <row r="156" spans="1:25">
      <c r="A156" s="507"/>
      <c r="B156" s="508">
        <v>53020030005</v>
      </c>
      <c r="C156" s="508" t="s">
        <v>103</v>
      </c>
      <c r="D156" s="507" t="s">
        <v>891</v>
      </c>
      <c r="E156" s="513"/>
      <c r="F156" s="507"/>
      <c r="G156" s="507"/>
      <c r="H156" s="507"/>
      <c r="I156" s="507"/>
      <c r="J156" s="508"/>
      <c r="K156" s="507"/>
      <c r="L156" s="507"/>
      <c r="M156" s="507"/>
      <c r="N156" s="1220"/>
      <c r="O156" s="1220"/>
      <c r="P156" s="505"/>
      <c r="Q156" s="505"/>
      <c r="R156" s="505"/>
      <c r="S156" s="505"/>
      <c r="T156" s="1219"/>
      <c r="U156" s="1219"/>
      <c r="V156" s="506"/>
      <c r="W156" s="507"/>
      <c r="X156" s="1258"/>
      <c r="Y156" s="508"/>
    </row>
    <row r="157" spans="1:25">
      <c r="A157" s="2972">
        <v>4133</v>
      </c>
      <c r="B157" s="192"/>
      <c r="C157" s="2935" t="s">
        <v>109</v>
      </c>
      <c r="D157" s="2933" t="s">
        <v>891</v>
      </c>
      <c r="E157" s="515" t="s">
        <v>892</v>
      </c>
      <c r="F157" s="192"/>
      <c r="G157" s="182"/>
      <c r="H157" s="492"/>
      <c r="I157" s="183"/>
      <c r="J157" s="183"/>
      <c r="K157" s="182">
        <f>K159</f>
        <v>4</v>
      </c>
      <c r="L157" s="197">
        <f>SUM(L158:L159)</f>
        <v>1</v>
      </c>
      <c r="M157" s="507"/>
      <c r="N157" s="1220">
        <f>SUM(N158:N159)</f>
        <v>0.23181818181818178</v>
      </c>
      <c r="O157" s="2934">
        <f>IF(Q157&gt;0,N157,"na")</f>
        <v>0.23181818181818178</v>
      </c>
      <c r="P157" s="505">
        <f>SUM(P158:P159)</f>
        <v>144000000</v>
      </c>
      <c r="Q157" s="505">
        <f t="shared" ref="Q157:S157" si="76">SUM(Q158:Q159)</f>
        <v>344000000</v>
      </c>
      <c r="R157" s="505">
        <f t="shared" si="76"/>
        <v>149168500</v>
      </c>
      <c r="S157" s="505">
        <f t="shared" si="76"/>
        <v>70510500</v>
      </c>
      <c r="T157" s="1219">
        <f>+IF(Q157=0,0,R157/Q157)</f>
        <v>0.4336293604651163</v>
      </c>
      <c r="U157" s="1219">
        <f>+IF(R157=0,0,S157/R157)</f>
        <v>0.47269027978427081</v>
      </c>
      <c r="V157" s="506"/>
      <c r="W157" s="507"/>
      <c r="X157" s="1258"/>
      <c r="Y157" s="2929" t="s">
        <v>634</v>
      </c>
    </row>
    <row r="158" spans="1:25" ht="16.5" customHeight="1">
      <c r="A158" s="2972"/>
      <c r="B158" s="192"/>
      <c r="C158" s="2935"/>
      <c r="D158" s="2933"/>
      <c r="E158" s="183" t="s">
        <v>893</v>
      </c>
      <c r="F158" s="514"/>
      <c r="G158" s="2973" t="s">
        <v>891</v>
      </c>
      <c r="H158" s="2972"/>
      <c r="I158" s="183" t="s">
        <v>894</v>
      </c>
      <c r="J158" s="183" t="s">
        <v>895</v>
      </c>
      <c r="K158" s="515">
        <v>11</v>
      </c>
      <c r="L158" s="1228">
        <v>0.85</v>
      </c>
      <c r="M158" s="507">
        <v>3</v>
      </c>
      <c r="N158" s="1217">
        <f t="shared" ref="N158:N159" si="77">(M158/K158)*L158</f>
        <v>0.23181818181818178</v>
      </c>
      <c r="O158" s="2934"/>
      <c r="P158" s="485">
        <v>110779150</v>
      </c>
      <c r="Q158" s="485">
        <v>178821850</v>
      </c>
      <c r="R158" s="505">
        <v>105851500</v>
      </c>
      <c r="S158" s="505">
        <v>70510500</v>
      </c>
      <c r="T158" s="1219">
        <f t="shared" ref="T158:U159" si="78">+IF(Q158=0,0,R158/Q158)</f>
        <v>0.59193828942044835</v>
      </c>
      <c r="U158" s="1219">
        <f t="shared" si="78"/>
        <v>0.6661266018903842</v>
      </c>
      <c r="V158" s="506">
        <v>45322</v>
      </c>
      <c r="W158" s="506">
        <v>45657</v>
      </c>
      <c r="X158" s="1258" t="s">
        <v>4870</v>
      </c>
      <c r="Y158" s="2930"/>
    </row>
    <row r="159" spans="1:25" ht="81">
      <c r="A159" s="2972"/>
      <c r="B159" s="192"/>
      <c r="C159" s="2935"/>
      <c r="D159" s="2933"/>
      <c r="E159" s="183" t="s">
        <v>896</v>
      </c>
      <c r="F159" s="514"/>
      <c r="G159" s="2973"/>
      <c r="H159" s="2972"/>
      <c r="I159" s="183" t="s">
        <v>897</v>
      </c>
      <c r="J159" s="183" t="s">
        <v>898</v>
      </c>
      <c r="K159" s="515">
        <v>4</v>
      </c>
      <c r="L159" s="1228">
        <v>0.15</v>
      </c>
      <c r="M159" s="507">
        <v>0</v>
      </c>
      <c r="N159" s="1217">
        <f t="shared" si="77"/>
        <v>0</v>
      </c>
      <c r="O159" s="2934"/>
      <c r="P159" s="485">
        <v>33220850</v>
      </c>
      <c r="Q159" s="485">
        <v>165178150</v>
      </c>
      <c r="R159" s="505">
        <v>43317000</v>
      </c>
      <c r="S159" s="505">
        <v>0</v>
      </c>
      <c r="T159" s="1219">
        <f t="shared" si="78"/>
        <v>0.26224412853637119</v>
      </c>
      <c r="U159" s="1219">
        <f t="shared" si="78"/>
        <v>0</v>
      </c>
      <c r="V159" s="506">
        <v>45360</v>
      </c>
      <c r="W159" s="506">
        <v>45657</v>
      </c>
      <c r="X159" s="1258"/>
      <c r="Y159" s="2931"/>
    </row>
    <row r="160" spans="1:25" ht="94.5" customHeight="1">
      <c r="A160" s="507"/>
      <c r="B160" s="508">
        <v>53020030006</v>
      </c>
      <c r="C160" s="508" t="s">
        <v>103</v>
      </c>
      <c r="D160" s="507" t="s">
        <v>899</v>
      </c>
      <c r="E160" s="513"/>
      <c r="F160" s="507"/>
      <c r="G160" s="507"/>
      <c r="H160" s="507"/>
      <c r="I160" s="507"/>
      <c r="J160" s="508"/>
      <c r="K160" s="507"/>
      <c r="L160" s="507"/>
      <c r="M160" s="507"/>
      <c r="N160" s="1220"/>
      <c r="O160" s="1220"/>
      <c r="P160" s="505"/>
      <c r="Q160" s="505"/>
      <c r="R160" s="505"/>
      <c r="S160" s="505"/>
      <c r="T160" s="1219"/>
      <c r="U160" s="1219"/>
      <c r="V160" s="506"/>
      <c r="W160" s="507"/>
      <c r="X160" s="1258"/>
      <c r="Y160" s="508"/>
    </row>
    <row r="161" spans="1:25">
      <c r="A161" s="2932">
        <v>4133</v>
      </c>
      <c r="B161" s="355"/>
      <c r="C161" s="2932" t="s">
        <v>109</v>
      </c>
      <c r="D161" s="2933" t="s">
        <v>900</v>
      </c>
      <c r="E161" s="182" t="s">
        <v>901</v>
      </c>
      <c r="F161" s="192"/>
      <c r="G161" s="182"/>
      <c r="H161" s="192"/>
      <c r="I161" s="183"/>
      <c r="J161" s="183"/>
      <c r="K161" s="182">
        <f>+K164</f>
        <v>1</v>
      </c>
      <c r="L161" s="197">
        <f>SUM(L162:L164)</f>
        <v>1</v>
      </c>
      <c r="M161" s="507"/>
      <c r="N161" s="1220">
        <f>SUM(N162:N164)</f>
        <v>0.39259999999999995</v>
      </c>
      <c r="O161" s="2934">
        <f>IF(Q161&gt;0,N161,"na")</f>
        <v>0.39259999999999995</v>
      </c>
      <c r="P161" s="505">
        <f>SUM(P162:P164)</f>
        <v>150000000</v>
      </c>
      <c r="Q161" s="505">
        <f t="shared" ref="Q161:S161" si="79">SUM(Q162:Q164)</f>
        <v>833240000</v>
      </c>
      <c r="R161" s="505">
        <f t="shared" si="79"/>
        <v>784878431</v>
      </c>
      <c r="S161" s="505">
        <f t="shared" si="79"/>
        <v>229636485</v>
      </c>
      <c r="T161" s="1219">
        <f>+IF(Q161=0,0,R161/Q161)</f>
        <v>0.94195961667706785</v>
      </c>
      <c r="U161" s="1219">
        <f>+IF(R161=0,0,S161/R161)</f>
        <v>0.29257586389197132</v>
      </c>
      <c r="V161" s="506"/>
      <c r="W161" s="507"/>
      <c r="X161" s="1258"/>
      <c r="Y161" s="2929" t="s">
        <v>634</v>
      </c>
    </row>
    <row r="162" spans="1:25" ht="67.5">
      <c r="A162" s="2932"/>
      <c r="B162" s="355"/>
      <c r="C162" s="2932"/>
      <c r="D162" s="2933"/>
      <c r="E162" s="489" t="s">
        <v>905</v>
      </c>
      <c r="F162" s="192"/>
      <c r="G162" s="182"/>
      <c r="H162" s="192"/>
      <c r="I162" s="183" t="s">
        <v>4871</v>
      </c>
      <c r="J162" s="183" t="s">
        <v>903</v>
      </c>
      <c r="K162" s="182">
        <v>30</v>
      </c>
      <c r="L162" s="197">
        <v>0.21</v>
      </c>
      <c r="M162" s="507">
        <v>3</v>
      </c>
      <c r="N162" s="1217">
        <f t="shared" ref="N162:N164" si="80">(M162/K162)*L162</f>
        <v>2.1000000000000001E-2</v>
      </c>
      <c r="O162" s="2934"/>
      <c r="P162" s="485">
        <v>101987510</v>
      </c>
      <c r="Q162" s="485">
        <v>171987510</v>
      </c>
      <c r="R162" s="505">
        <v>136907700</v>
      </c>
      <c r="S162" s="505">
        <v>86642000</v>
      </c>
      <c r="T162" s="1219">
        <f t="shared" ref="T162:U164" si="81">+IF(Q162=0,0,R162/Q162)</f>
        <v>0.79603280494031226</v>
      </c>
      <c r="U162" s="1219">
        <f t="shared" si="81"/>
        <v>0.63284972284246976</v>
      </c>
      <c r="V162" s="506">
        <v>45320</v>
      </c>
      <c r="W162" s="506">
        <v>45657</v>
      </c>
      <c r="X162" s="1258" t="s">
        <v>904</v>
      </c>
      <c r="Y162" s="2930"/>
    </row>
    <row r="163" spans="1:25" ht="54">
      <c r="A163" s="2932"/>
      <c r="B163" s="355"/>
      <c r="C163" s="2932"/>
      <c r="D163" s="2933"/>
      <c r="E163" s="489" t="s">
        <v>902</v>
      </c>
      <c r="F163" s="192"/>
      <c r="G163" s="182" t="s">
        <v>906</v>
      </c>
      <c r="H163" s="192"/>
      <c r="I163" s="183" t="s">
        <v>4872</v>
      </c>
      <c r="J163" s="183" t="s">
        <v>907</v>
      </c>
      <c r="K163" s="489">
        <v>50</v>
      </c>
      <c r="L163" s="197">
        <v>0.09</v>
      </c>
      <c r="M163" s="507">
        <v>12</v>
      </c>
      <c r="N163" s="1217">
        <f t="shared" si="80"/>
        <v>2.1599999999999998E-2</v>
      </c>
      <c r="O163" s="2934"/>
      <c r="P163" s="485">
        <v>48012490</v>
      </c>
      <c r="Q163" s="485">
        <v>73012490</v>
      </c>
      <c r="R163" s="505">
        <v>59808300</v>
      </c>
      <c r="S163" s="505">
        <v>25362000</v>
      </c>
      <c r="T163" s="1219">
        <f>+IF(Q163=0,0,R163/Q163)</f>
        <v>0.81915162734485569</v>
      </c>
      <c r="U163" s="1219">
        <f t="shared" si="81"/>
        <v>0.42405485526256387</v>
      </c>
      <c r="V163" s="506">
        <v>45358</v>
      </c>
      <c r="W163" s="506">
        <v>45657</v>
      </c>
      <c r="X163" s="1258" t="s">
        <v>4873</v>
      </c>
      <c r="Y163" s="2930"/>
    </row>
    <row r="164" spans="1:25" ht="14.45" customHeight="1">
      <c r="A164" s="2932"/>
      <c r="B164" s="355"/>
      <c r="C164" s="2932"/>
      <c r="D164" s="2933"/>
      <c r="E164" s="489" t="s">
        <v>4874</v>
      </c>
      <c r="F164" s="192"/>
      <c r="G164" s="182"/>
      <c r="H164" s="192"/>
      <c r="I164" s="183" t="s">
        <v>4875</v>
      </c>
      <c r="J164" s="183" t="s">
        <v>110</v>
      </c>
      <c r="K164" s="489">
        <v>1</v>
      </c>
      <c r="L164" s="487">
        <v>0.7</v>
      </c>
      <c r="M164" s="507">
        <v>0.5</v>
      </c>
      <c r="N164" s="1217">
        <f t="shared" si="80"/>
        <v>0.35</v>
      </c>
      <c r="O164" s="2934"/>
      <c r="P164" s="485">
        <v>0</v>
      </c>
      <c r="Q164" s="485">
        <v>588240000</v>
      </c>
      <c r="R164" s="505">
        <v>588162431</v>
      </c>
      <c r="S164" s="505">
        <v>117632485</v>
      </c>
      <c r="T164" s="1219">
        <f>+IF(Q164=0,0,R164/Q164)</f>
        <v>0.99986813375493</v>
      </c>
      <c r="U164" s="1219">
        <f t="shared" si="81"/>
        <v>0.19999999795974727</v>
      </c>
      <c r="V164" s="506">
        <v>45321</v>
      </c>
      <c r="W164" s="506">
        <v>45657</v>
      </c>
      <c r="X164" s="1258" t="s">
        <v>904</v>
      </c>
      <c r="Y164" s="2931"/>
    </row>
    <row r="165" spans="1:25" ht="162" customHeight="1">
      <c r="A165" s="507"/>
      <c r="B165" s="508">
        <v>53020030007</v>
      </c>
      <c r="C165" s="508" t="s">
        <v>103</v>
      </c>
      <c r="D165" s="507" t="s">
        <v>908</v>
      </c>
      <c r="E165" s="513"/>
      <c r="F165" s="507"/>
      <c r="G165" s="507"/>
      <c r="H165" s="507"/>
      <c r="I165" s="507"/>
      <c r="J165" s="508"/>
      <c r="K165" s="507"/>
      <c r="L165" s="507"/>
      <c r="M165" s="507"/>
      <c r="N165" s="1220"/>
      <c r="O165" s="1220"/>
      <c r="P165" s="505"/>
      <c r="Q165" s="505"/>
      <c r="R165" s="505"/>
      <c r="S165" s="505"/>
      <c r="T165" s="1219"/>
      <c r="U165" s="1219"/>
      <c r="V165" s="506"/>
      <c r="W165" s="507"/>
      <c r="X165" s="1258"/>
      <c r="Y165" s="508"/>
    </row>
    <row r="166" spans="1:25">
      <c r="A166" s="2935">
        <v>4133</v>
      </c>
      <c r="B166" s="192"/>
      <c r="C166" s="2935" t="s">
        <v>109</v>
      </c>
      <c r="D166" s="2933" t="s">
        <v>909</v>
      </c>
      <c r="E166" s="182" t="s">
        <v>910</v>
      </c>
      <c r="F166" s="192"/>
      <c r="G166" s="182"/>
      <c r="H166" s="192"/>
      <c r="I166" s="183"/>
      <c r="J166" s="183"/>
      <c r="K166" s="182">
        <f>K167</f>
        <v>363</v>
      </c>
      <c r="L166" s="197">
        <f>SUM(L167)</f>
        <v>1</v>
      </c>
      <c r="M166" s="507"/>
      <c r="N166" s="1220">
        <f>SUM(N167:N167)</f>
        <v>9.6418732782369149E-2</v>
      </c>
      <c r="O166" s="2934">
        <f>IF(Q166&gt;0,N166,"na")</f>
        <v>9.6418732782369149E-2</v>
      </c>
      <c r="P166" s="505">
        <f>SUM(P167)</f>
        <v>240000000</v>
      </c>
      <c r="Q166" s="505">
        <f t="shared" ref="Q166:S166" si="82">SUM(Q167)</f>
        <v>320000000</v>
      </c>
      <c r="R166" s="505">
        <f t="shared" si="82"/>
        <v>242757000</v>
      </c>
      <c r="S166" s="505">
        <f t="shared" si="82"/>
        <v>147909000</v>
      </c>
      <c r="T166" s="1219">
        <f>+IF(Q166=0,0,R166/Q166)</f>
        <v>0.75861562500000002</v>
      </c>
      <c r="U166" s="1219">
        <f>+IF(R166=0,0,S166/R166)</f>
        <v>0.60928830064632533</v>
      </c>
      <c r="V166" s="506"/>
      <c r="W166" s="507"/>
      <c r="X166" s="1258"/>
      <c r="Y166" s="2929" t="s">
        <v>634</v>
      </c>
    </row>
    <row r="167" spans="1:25" ht="175.5">
      <c r="A167" s="2935"/>
      <c r="B167" s="192"/>
      <c r="C167" s="2935"/>
      <c r="D167" s="2933"/>
      <c r="E167" s="196" t="s">
        <v>911</v>
      </c>
      <c r="F167" s="192"/>
      <c r="G167" s="182" t="s">
        <v>912</v>
      </c>
      <c r="H167" s="192"/>
      <c r="I167" s="183" t="s">
        <v>4876</v>
      </c>
      <c r="J167" s="183" t="s">
        <v>913</v>
      </c>
      <c r="K167" s="182">
        <v>363</v>
      </c>
      <c r="L167" s="197">
        <v>1</v>
      </c>
      <c r="M167" s="507">
        <v>35</v>
      </c>
      <c r="N167" s="1217">
        <f t="shared" ref="N167" si="83">(M167/K167)*L167</f>
        <v>9.6418732782369149E-2</v>
      </c>
      <c r="O167" s="2934"/>
      <c r="P167" s="485">
        <v>240000000</v>
      </c>
      <c r="Q167" s="485">
        <v>320000000</v>
      </c>
      <c r="R167" s="505">
        <v>242757000</v>
      </c>
      <c r="S167" s="505">
        <v>147909000</v>
      </c>
      <c r="T167" s="1219">
        <f t="shared" ref="T167:U167" si="84">+IF(Q167=0,0,R167/Q167)</f>
        <v>0.75861562500000002</v>
      </c>
      <c r="U167" s="1219">
        <f t="shared" si="84"/>
        <v>0.60928830064632533</v>
      </c>
      <c r="V167" s="506">
        <v>45316</v>
      </c>
      <c r="W167" s="506">
        <v>45657</v>
      </c>
      <c r="X167" s="1258" t="s">
        <v>4877</v>
      </c>
      <c r="Y167" s="2931"/>
    </row>
    <row r="168" spans="1:25" ht="27">
      <c r="A168" s="507"/>
      <c r="B168" s="508">
        <v>53020030008</v>
      </c>
      <c r="C168" s="192" t="s">
        <v>103</v>
      </c>
      <c r="D168" s="182" t="s">
        <v>914</v>
      </c>
      <c r="E168" s="513"/>
      <c r="F168" s="507"/>
      <c r="G168" s="507"/>
      <c r="H168" s="507"/>
      <c r="I168" s="507"/>
      <c r="J168" s="508"/>
      <c r="K168" s="507"/>
      <c r="L168" s="507"/>
      <c r="M168" s="507"/>
      <c r="N168" s="1220"/>
      <c r="O168" s="1220"/>
      <c r="P168" s="505"/>
      <c r="Q168" s="505"/>
      <c r="R168" s="505"/>
      <c r="S168" s="505"/>
      <c r="T168" s="1219"/>
      <c r="U168" s="1219"/>
      <c r="V168" s="506"/>
      <c r="W168" s="507"/>
      <c r="X168" s="1258"/>
      <c r="Y168" s="508"/>
    </row>
    <row r="169" spans="1:25">
      <c r="A169" s="2935">
        <v>4133</v>
      </c>
      <c r="B169" s="192"/>
      <c r="C169" s="2935" t="s">
        <v>109</v>
      </c>
      <c r="D169" s="2933" t="s">
        <v>915</v>
      </c>
      <c r="E169" s="182" t="s">
        <v>916</v>
      </c>
      <c r="F169" s="192"/>
      <c r="G169" s="182"/>
      <c r="H169" s="492"/>
      <c r="I169" s="183"/>
      <c r="J169" s="183"/>
      <c r="K169" s="182">
        <f>K171</f>
        <v>21</v>
      </c>
      <c r="L169" s="197">
        <f>SUM(L170:L171)</f>
        <v>1</v>
      </c>
      <c r="M169" s="507"/>
      <c r="N169" s="1220">
        <f>SUM(N170:N171)</f>
        <v>0.83316526610644259</v>
      </c>
      <c r="O169" s="2934">
        <f>IF(Q169&gt;0,N169,"na")</f>
        <v>0.83316526610644259</v>
      </c>
      <c r="P169" s="505">
        <f>SUM(P170:P171)</f>
        <v>70000000</v>
      </c>
      <c r="Q169" s="505">
        <f t="shared" ref="Q169:S169" si="85">SUM(Q170:Q171)</f>
        <v>70000000</v>
      </c>
      <c r="R169" s="505">
        <f t="shared" si="85"/>
        <v>64546000</v>
      </c>
      <c r="S169" s="505">
        <f t="shared" si="85"/>
        <v>46794000</v>
      </c>
      <c r="T169" s="1219">
        <f>+IF(Q169=0,0,R169/Q169)</f>
        <v>0.92208571428571429</v>
      </c>
      <c r="U169" s="1219">
        <f>+IF(R169=0,0,S169/R169)</f>
        <v>0.72497133827038085</v>
      </c>
      <c r="V169" s="506"/>
      <c r="W169" s="507"/>
      <c r="X169" s="1258"/>
      <c r="Y169" s="2929" t="s">
        <v>634</v>
      </c>
    </row>
    <row r="170" spans="1:25" ht="14.45" customHeight="1">
      <c r="A170" s="2935"/>
      <c r="B170" s="192"/>
      <c r="C170" s="2935"/>
      <c r="D170" s="2933"/>
      <c r="E170" s="196" t="s">
        <v>917</v>
      </c>
      <c r="F170" s="192"/>
      <c r="G170" s="182"/>
      <c r="H170" s="192"/>
      <c r="I170" s="183" t="s">
        <v>918</v>
      </c>
      <c r="J170" s="183" t="s">
        <v>919</v>
      </c>
      <c r="K170" s="182">
        <v>17</v>
      </c>
      <c r="L170" s="197">
        <v>0.36</v>
      </c>
      <c r="M170" s="507">
        <v>12</v>
      </c>
      <c r="N170" s="1217">
        <f>(M170/K170)*L170</f>
        <v>0.25411764705882356</v>
      </c>
      <c r="O170" s="2934"/>
      <c r="P170" s="485">
        <v>40914100</v>
      </c>
      <c r="Q170" s="485">
        <v>40914100</v>
      </c>
      <c r="R170" s="505">
        <v>36774000</v>
      </c>
      <c r="S170" s="505">
        <v>23460000</v>
      </c>
      <c r="T170" s="1219">
        <f t="shared" ref="T170:U171" si="86">+IF(Q170=0,0,R170/Q170)</f>
        <v>0.89880994571553574</v>
      </c>
      <c r="U170" s="1219">
        <f t="shared" si="86"/>
        <v>0.63795072605645298</v>
      </c>
      <c r="V170" s="506">
        <v>45316</v>
      </c>
      <c r="W170" s="506">
        <v>45657</v>
      </c>
      <c r="X170" s="1258" t="s">
        <v>4878</v>
      </c>
      <c r="Y170" s="2930"/>
    </row>
    <row r="171" spans="1:25" ht="94.5">
      <c r="A171" s="2935"/>
      <c r="B171" s="192"/>
      <c r="C171" s="2935"/>
      <c r="D171" s="2933"/>
      <c r="E171" s="196" t="s">
        <v>920</v>
      </c>
      <c r="F171" s="192"/>
      <c r="G171" s="182" t="s">
        <v>921</v>
      </c>
      <c r="H171" s="492"/>
      <c r="I171" s="183" t="s">
        <v>922</v>
      </c>
      <c r="J171" s="183" t="s">
        <v>498</v>
      </c>
      <c r="K171" s="182">
        <v>21</v>
      </c>
      <c r="L171" s="197">
        <v>0.64</v>
      </c>
      <c r="M171" s="507">
        <v>19</v>
      </c>
      <c r="N171" s="1217">
        <f t="shared" ref="N171" si="87">(M171/K171)*L171</f>
        <v>0.57904761904761903</v>
      </c>
      <c r="O171" s="2934"/>
      <c r="P171" s="485">
        <v>29085900</v>
      </c>
      <c r="Q171" s="485">
        <v>29085900</v>
      </c>
      <c r="R171" s="505">
        <v>27772000</v>
      </c>
      <c r="S171" s="505">
        <v>23334000</v>
      </c>
      <c r="T171" s="1219">
        <f t="shared" si="86"/>
        <v>0.95482690925843794</v>
      </c>
      <c r="U171" s="1219">
        <f t="shared" si="86"/>
        <v>0.84019876134235916</v>
      </c>
      <c r="V171" s="506">
        <v>45322</v>
      </c>
      <c r="W171" s="506">
        <v>45657</v>
      </c>
      <c r="X171" s="1258" t="s">
        <v>4879</v>
      </c>
      <c r="Y171" s="2931"/>
    </row>
    <row r="172" spans="1:25">
      <c r="A172" s="507"/>
      <c r="B172" s="355">
        <v>5302004</v>
      </c>
      <c r="C172" s="355" t="s">
        <v>102</v>
      </c>
      <c r="D172" s="182" t="s">
        <v>923</v>
      </c>
      <c r="E172" s="513"/>
      <c r="F172" s="507"/>
      <c r="G172" s="507"/>
      <c r="H172" s="507"/>
      <c r="I172" s="507"/>
      <c r="J172" s="508"/>
      <c r="K172" s="507"/>
      <c r="L172" s="507"/>
      <c r="M172" s="507"/>
      <c r="N172" s="1220"/>
      <c r="O172" s="1220"/>
      <c r="P172" s="505"/>
      <c r="Q172" s="505"/>
      <c r="R172" s="505"/>
      <c r="S172" s="505"/>
      <c r="T172" s="1219"/>
      <c r="U172" s="1219"/>
      <c r="V172" s="506"/>
      <c r="W172" s="507"/>
      <c r="X172" s="1258"/>
      <c r="Y172" s="508"/>
    </row>
    <row r="173" spans="1:25" ht="27">
      <c r="A173" s="507"/>
      <c r="B173" s="508">
        <v>53020040001</v>
      </c>
      <c r="C173" s="355" t="s">
        <v>103</v>
      </c>
      <c r="D173" s="182" t="s">
        <v>924</v>
      </c>
      <c r="E173" s="513"/>
      <c r="F173" s="507"/>
      <c r="G173" s="507"/>
      <c r="H173" s="507"/>
      <c r="I173" s="507"/>
      <c r="J173" s="508"/>
      <c r="K173" s="507"/>
      <c r="L173" s="507"/>
      <c r="M173" s="507"/>
      <c r="N173" s="1220"/>
      <c r="O173" s="1220"/>
      <c r="P173" s="505"/>
      <c r="Q173" s="505"/>
      <c r="R173" s="505"/>
      <c r="S173" s="505"/>
      <c r="T173" s="1219"/>
      <c r="U173" s="1219"/>
      <c r="V173" s="506"/>
      <c r="W173" s="507"/>
      <c r="X173" s="1258"/>
      <c r="Y173" s="508"/>
    </row>
    <row r="174" spans="1:25" ht="14.45" customHeight="1">
      <c r="A174" s="2935">
        <v>4133</v>
      </c>
      <c r="B174" s="192"/>
      <c r="C174" s="2935" t="s">
        <v>109</v>
      </c>
      <c r="D174" s="2933" t="s">
        <v>925</v>
      </c>
      <c r="E174" s="182" t="s">
        <v>926</v>
      </c>
      <c r="F174" s="192"/>
      <c r="G174" s="182"/>
      <c r="H174" s="492"/>
      <c r="I174" s="183"/>
      <c r="J174" s="183"/>
      <c r="K174" s="182">
        <f>K176</f>
        <v>1</v>
      </c>
      <c r="L174" s="197">
        <f>SUM(L176:L176)</f>
        <v>1</v>
      </c>
      <c r="M174" s="507"/>
      <c r="N174" s="1220">
        <f>SUM(N176:N176)</f>
        <v>0.5</v>
      </c>
      <c r="O174" s="2934">
        <f>IF(Q174&gt;0,N174,"na")</f>
        <v>0.5</v>
      </c>
      <c r="P174" s="505">
        <f>SUM(P175:P176)</f>
        <v>200000000</v>
      </c>
      <c r="Q174" s="505">
        <f t="shared" ref="Q174:R174" si="88">SUM(Q175:Q176)</f>
        <v>2180064000</v>
      </c>
      <c r="R174" s="505">
        <f t="shared" si="88"/>
        <v>115665000</v>
      </c>
      <c r="S174" s="505">
        <f t="shared" ref="S174" si="89">SUM(S176)</f>
        <v>60030000</v>
      </c>
      <c r="T174" s="1219">
        <f>+IF(Q174=0,0,R174/Q174)</f>
        <v>5.3055781848606279E-2</v>
      </c>
      <c r="U174" s="1219">
        <f>+IF(R174=0,0,S174/R174)</f>
        <v>0.51899883283620807</v>
      </c>
      <c r="V174" s="506"/>
      <c r="W174" s="507"/>
      <c r="X174" s="1258"/>
      <c r="Y174" s="2929" t="s">
        <v>634</v>
      </c>
    </row>
    <row r="175" spans="1:25" ht="40.5">
      <c r="A175" s="2935"/>
      <c r="B175" s="192"/>
      <c r="C175" s="2935"/>
      <c r="D175" s="2933"/>
      <c r="E175" s="182" t="s">
        <v>4880</v>
      </c>
      <c r="F175" s="192"/>
      <c r="G175" s="182"/>
      <c r="H175" s="492"/>
      <c r="I175" s="183"/>
      <c r="J175" s="183" t="s">
        <v>110</v>
      </c>
      <c r="K175" s="182"/>
      <c r="L175" s="197"/>
      <c r="M175" s="507"/>
      <c r="N175" s="1220"/>
      <c r="O175" s="2934"/>
      <c r="P175" s="485">
        <v>0</v>
      </c>
      <c r="Q175" s="485">
        <v>125000000</v>
      </c>
      <c r="R175" s="505">
        <v>0</v>
      </c>
      <c r="S175" s="505">
        <v>0</v>
      </c>
      <c r="T175" s="1219"/>
      <c r="U175" s="1219"/>
      <c r="V175" s="506"/>
      <c r="W175" s="507"/>
      <c r="X175" s="1258"/>
      <c r="Y175" s="2930"/>
    </row>
    <row r="176" spans="1:25" ht="16.5" customHeight="1">
      <c r="A176" s="2935"/>
      <c r="B176" s="192"/>
      <c r="C176" s="2935"/>
      <c r="D176" s="2933"/>
      <c r="E176" s="196" t="s">
        <v>927</v>
      </c>
      <c r="F176" s="192"/>
      <c r="G176" s="182" t="s">
        <v>928</v>
      </c>
      <c r="H176" s="492"/>
      <c r="I176" s="183" t="s">
        <v>929</v>
      </c>
      <c r="J176" s="183" t="s">
        <v>4881</v>
      </c>
      <c r="K176" s="182">
        <v>1</v>
      </c>
      <c r="L176" s="197">
        <v>1</v>
      </c>
      <c r="M176" s="507">
        <v>0.5</v>
      </c>
      <c r="N176" s="1217">
        <f>(M176/K176)*L176</f>
        <v>0.5</v>
      </c>
      <c r="O176" s="2934"/>
      <c r="P176" s="485">
        <v>200000000</v>
      </c>
      <c r="Q176" s="485">
        <v>2055064000</v>
      </c>
      <c r="R176" s="505">
        <v>115665000</v>
      </c>
      <c r="S176" s="505">
        <v>60030000</v>
      </c>
      <c r="T176" s="1219">
        <f t="shared" ref="T176:U176" si="90">+IF(Q176=0,0,R176/Q176)</f>
        <v>5.6282918682824479E-2</v>
      </c>
      <c r="U176" s="1219">
        <f t="shared" si="90"/>
        <v>0.51899883283620807</v>
      </c>
      <c r="V176" s="506">
        <v>45366</v>
      </c>
      <c r="W176" s="506">
        <v>45657</v>
      </c>
      <c r="X176" s="1258" t="s">
        <v>930</v>
      </c>
      <c r="Y176" s="2931"/>
    </row>
    <row r="177" spans="1:25" ht="81" customHeight="1">
      <c r="A177" s="507"/>
      <c r="B177" s="192">
        <v>5303004</v>
      </c>
      <c r="C177" s="192" t="s">
        <v>102</v>
      </c>
      <c r="D177" s="182" t="s">
        <v>931</v>
      </c>
      <c r="E177" s="513"/>
      <c r="F177" s="507"/>
      <c r="G177" s="507"/>
      <c r="H177" s="507"/>
      <c r="I177" s="507"/>
      <c r="J177" s="508"/>
      <c r="K177" s="507"/>
      <c r="L177" s="507"/>
      <c r="M177" s="507"/>
      <c r="N177" s="1220"/>
      <c r="O177" s="1220"/>
      <c r="P177" s="505"/>
      <c r="Q177" s="505"/>
      <c r="R177" s="505"/>
      <c r="S177" s="505"/>
      <c r="T177" s="1219"/>
      <c r="U177" s="1219"/>
      <c r="V177" s="506"/>
      <c r="W177" s="507"/>
      <c r="X177" s="1258"/>
      <c r="Y177" s="508"/>
    </row>
    <row r="178" spans="1:25">
      <c r="A178" s="507"/>
      <c r="B178" s="508">
        <v>53030040001</v>
      </c>
      <c r="C178" s="508" t="s">
        <v>103</v>
      </c>
      <c r="D178" s="507" t="s">
        <v>932</v>
      </c>
      <c r="E178" s="513"/>
      <c r="F178" s="507"/>
      <c r="G178" s="507"/>
      <c r="H178" s="507"/>
      <c r="I178" s="507"/>
      <c r="J178" s="508"/>
      <c r="K178" s="507"/>
      <c r="L178" s="507"/>
      <c r="M178" s="507"/>
      <c r="N178" s="1220"/>
      <c r="O178" s="1220"/>
      <c r="P178" s="505"/>
      <c r="Q178" s="505"/>
      <c r="R178" s="505"/>
      <c r="S178" s="505"/>
      <c r="T178" s="1219"/>
      <c r="U178" s="1219"/>
      <c r="V178" s="506"/>
      <c r="W178" s="507"/>
      <c r="X178" s="1258"/>
      <c r="Y178" s="508"/>
    </row>
    <row r="179" spans="1:25">
      <c r="A179" s="2935">
        <v>4133</v>
      </c>
      <c r="B179" s="192"/>
      <c r="C179" s="2935" t="s">
        <v>109</v>
      </c>
      <c r="D179" s="2933" t="s">
        <v>933</v>
      </c>
      <c r="E179" s="182" t="s">
        <v>934</v>
      </c>
      <c r="F179" s="192"/>
      <c r="G179" s="182"/>
      <c r="H179" s="192"/>
      <c r="I179" s="183"/>
      <c r="J179" s="183"/>
      <c r="K179" s="182">
        <f>K180</f>
        <v>13</v>
      </c>
      <c r="L179" s="197">
        <f>SUM(L180:L181)</f>
        <v>1</v>
      </c>
      <c r="M179" s="507"/>
      <c r="N179" s="1220">
        <f>SUM(N180:N181)</f>
        <v>0.18</v>
      </c>
      <c r="O179" s="2934">
        <f>IF(Q179&gt;0,N179,"na")</f>
        <v>0.18</v>
      </c>
      <c r="P179" s="505">
        <f>SUM(P180:P181)</f>
        <v>531000000</v>
      </c>
      <c r="Q179" s="505">
        <f t="shared" ref="Q179:S179" si="91">SUM(Q180:Q181)</f>
        <v>802651731</v>
      </c>
      <c r="R179" s="505">
        <f t="shared" si="91"/>
        <v>255786501</v>
      </c>
      <c r="S179" s="505">
        <f t="shared" si="91"/>
        <v>177846000</v>
      </c>
      <c r="T179" s="1219">
        <f>+IF(Q179=0,0,R179/Q179)</f>
        <v>0.3186768197476173</v>
      </c>
      <c r="U179" s="1219">
        <f>+IF(R179=0,0,S179/R179)</f>
        <v>0.69529079644433622</v>
      </c>
      <c r="V179" s="506"/>
      <c r="W179" s="507"/>
      <c r="X179" s="1258"/>
      <c r="Y179" s="2929" t="s">
        <v>634</v>
      </c>
    </row>
    <row r="180" spans="1:25" ht="162">
      <c r="A180" s="2935"/>
      <c r="B180" s="192"/>
      <c r="C180" s="2935"/>
      <c r="D180" s="2933"/>
      <c r="E180" s="196" t="s">
        <v>935</v>
      </c>
      <c r="F180" s="192"/>
      <c r="G180" s="183" t="s">
        <v>936</v>
      </c>
      <c r="H180" s="192"/>
      <c r="I180" s="183" t="s">
        <v>937</v>
      </c>
      <c r="J180" s="183" t="s">
        <v>938</v>
      </c>
      <c r="K180" s="182">
        <v>13</v>
      </c>
      <c r="L180" s="197">
        <v>0.9</v>
      </c>
      <c r="M180" s="507">
        <v>7</v>
      </c>
      <c r="N180" s="1217">
        <v>0.13</v>
      </c>
      <c r="O180" s="2934"/>
      <c r="P180" s="485">
        <v>520534496</v>
      </c>
      <c r="Q180" s="485">
        <v>792186227</v>
      </c>
      <c r="R180" s="505">
        <v>255786501</v>
      </c>
      <c r="S180" s="505">
        <v>177846000</v>
      </c>
      <c r="T180" s="1219">
        <f t="shared" ref="T180:U181" si="92">+IF(Q180=0,0,R180/Q180)</f>
        <v>0.32288683176007804</v>
      </c>
      <c r="U180" s="1219">
        <f t="shared" si="92"/>
        <v>0.69529079644433622</v>
      </c>
      <c r="V180" s="506">
        <v>45320</v>
      </c>
      <c r="W180" s="506">
        <v>45657</v>
      </c>
      <c r="X180" s="1258" t="s">
        <v>939</v>
      </c>
      <c r="Y180" s="2930"/>
    </row>
    <row r="181" spans="1:25" ht="81">
      <c r="A181" s="2935"/>
      <c r="B181" s="192"/>
      <c r="C181" s="2935"/>
      <c r="D181" s="2933"/>
      <c r="E181" s="196" t="s">
        <v>940</v>
      </c>
      <c r="F181" s="192"/>
      <c r="G181" s="183"/>
      <c r="H181" s="192"/>
      <c r="I181" s="183" t="s">
        <v>941</v>
      </c>
      <c r="J181" s="183" t="s">
        <v>942</v>
      </c>
      <c r="K181" s="182">
        <v>1</v>
      </c>
      <c r="L181" s="197">
        <v>0.1</v>
      </c>
      <c r="M181" s="507">
        <v>0.5</v>
      </c>
      <c r="N181" s="1217">
        <f t="shared" ref="N181" si="93">(M181/K181)*L181</f>
        <v>0.05</v>
      </c>
      <c r="O181" s="2934"/>
      <c r="P181" s="485">
        <v>10465504</v>
      </c>
      <c r="Q181" s="485">
        <v>10465504</v>
      </c>
      <c r="R181" s="505">
        <v>0</v>
      </c>
      <c r="S181" s="505">
        <v>0</v>
      </c>
      <c r="T181" s="1219">
        <f t="shared" si="92"/>
        <v>0</v>
      </c>
      <c r="U181" s="1219">
        <f t="shared" si="92"/>
        <v>0</v>
      </c>
      <c r="V181" s="507"/>
      <c r="W181" s="507"/>
      <c r="X181" s="1258" t="s">
        <v>943</v>
      </c>
      <c r="Y181" s="2931"/>
    </row>
    <row r="182" spans="1:25">
      <c r="A182" s="507"/>
      <c r="B182" s="508">
        <v>53030040002</v>
      </c>
      <c r="C182" s="508" t="s">
        <v>103</v>
      </c>
      <c r="D182" s="507" t="s">
        <v>944</v>
      </c>
      <c r="E182" s="513"/>
      <c r="F182" s="507"/>
      <c r="G182" s="507"/>
      <c r="H182" s="507"/>
      <c r="I182" s="507"/>
      <c r="J182" s="508"/>
      <c r="K182" s="507"/>
      <c r="L182" s="507"/>
      <c r="M182" s="507"/>
      <c r="N182" s="1220"/>
      <c r="O182" s="1220"/>
      <c r="P182" s="505"/>
      <c r="Q182" s="505"/>
      <c r="R182" s="505"/>
      <c r="S182" s="505"/>
      <c r="T182" s="1219"/>
      <c r="U182" s="1219"/>
      <c r="V182" s="506"/>
      <c r="W182" s="507"/>
      <c r="X182" s="1258"/>
      <c r="Y182" s="508"/>
    </row>
    <row r="183" spans="1:25">
      <c r="A183" s="2935">
        <v>4133</v>
      </c>
      <c r="B183" s="192"/>
      <c r="C183" s="2935" t="s">
        <v>109</v>
      </c>
      <c r="D183" s="2933" t="s">
        <v>945</v>
      </c>
      <c r="E183" s="182" t="s">
        <v>946</v>
      </c>
      <c r="F183" s="192"/>
      <c r="G183" s="182"/>
      <c r="H183" s="192"/>
      <c r="I183" s="183"/>
      <c r="J183" s="183"/>
      <c r="K183" s="182">
        <f>K184</f>
        <v>1</v>
      </c>
      <c r="L183" s="197">
        <f>SUM(L184:L185)</f>
        <v>1</v>
      </c>
      <c r="M183" s="507"/>
      <c r="N183" s="1220">
        <f>SUM(N184:N185)</f>
        <v>0.36568322981366458</v>
      </c>
      <c r="O183" s="2934">
        <f>IF(Q183&gt;0,N183,"na")</f>
        <v>0.36568322981366458</v>
      </c>
      <c r="P183" s="505">
        <f>SUM(P184:P185)</f>
        <v>580000000</v>
      </c>
      <c r="Q183" s="505">
        <f t="shared" ref="Q183:S183" si="94">SUM(Q184:Q185)</f>
        <v>1274936000</v>
      </c>
      <c r="R183" s="505">
        <f t="shared" si="94"/>
        <v>632561720</v>
      </c>
      <c r="S183" s="505">
        <f t="shared" si="94"/>
        <v>417332000</v>
      </c>
      <c r="T183" s="1219">
        <f>+IF(Q183=0,0,R183/Q183)</f>
        <v>0.49615174408754636</v>
      </c>
      <c r="U183" s="1219">
        <f>+IF(R183=0,0,S183/R183)</f>
        <v>0.65974905974392506</v>
      </c>
      <c r="V183" s="506"/>
      <c r="W183" s="507"/>
      <c r="X183" s="1258"/>
      <c r="Y183" s="2929" t="s">
        <v>634</v>
      </c>
    </row>
    <row r="184" spans="1:25" ht="81">
      <c r="A184" s="2935"/>
      <c r="B184" s="192"/>
      <c r="C184" s="2935"/>
      <c r="D184" s="2933"/>
      <c r="E184" s="196" t="s">
        <v>947</v>
      </c>
      <c r="F184" s="192"/>
      <c r="G184" s="2933" t="s">
        <v>948</v>
      </c>
      <c r="H184" s="2935"/>
      <c r="I184" s="183" t="s">
        <v>949</v>
      </c>
      <c r="J184" s="183" t="s">
        <v>950</v>
      </c>
      <c r="K184" s="182">
        <v>1</v>
      </c>
      <c r="L184" s="197">
        <v>0.5</v>
      </c>
      <c r="M184" s="507">
        <v>0.5</v>
      </c>
      <c r="N184" s="1217">
        <f>(M184/K184)*L184</f>
        <v>0.25</v>
      </c>
      <c r="O184" s="2934"/>
      <c r="P184" s="485">
        <v>128004000</v>
      </c>
      <c r="Q184" s="485">
        <v>212494000</v>
      </c>
      <c r="R184" s="505">
        <v>80500000</v>
      </c>
      <c r="S184" s="505">
        <v>55104000</v>
      </c>
      <c r="T184" s="1219">
        <f t="shared" ref="T184:U185" si="95">+IF(Q184=0,0,R184/Q184)</f>
        <v>0.37883422590755506</v>
      </c>
      <c r="U184" s="1219">
        <f t="shared" si="95"/>
        <v>0.68452173913043479</v>
      </c>
      <c r="V184" s="506">
        <v>45313</v>
      </c>
      <c r="W184" s="506">
        <v>45657</v>
      </c>
      <c r="X184" s="1258" t="s">
        <v>951</v>
      </c>
      <c r="Y184" s="2930"/>
    </row>
    <row r="185" spans="1:25" ht="108">
      <c r="A185" s="2935"/>
      <c r="B185" s="192"/>
      <c r="C185" s="2935"/>
      <c r="D185" s="2933"/>
      <c r="E185" s="196" t="s">
        <v>952</v>
      </c>
      <c r="F185" s="192"/>
      <c r="G185" s="2933"/>
      <c r="H185" s="2935"/>
      <c r="I185" s="183" t="s">
        <v>4882</v>
      </c>
      <c r="J185" s="183" t="s">
        <v>953</v>
      </c>
      <c r="K185" s="182">
        <v>644</v>
      </c>
      <c r="L185" s="197">
        <v>0.5</v>
      </c>
      <c r="M185" s="507">
        <v>149</v>
      </c>
      <c r="N185" s="1217">
        <f>(M185/K185)*L185</f>
        <v>0.11568322981366459</v>
      </c>
      <c r="O185" s="2934"/>
      <c r="P185" s="485">
        <v>451996000</v>
      </c>
      <c r="Q185" s="485">
        <v>1062442000</v>
      </c>
      <c r="R185" s="505">
        <v>552061720</v>
      </c>
      <c r="S185" s="505">
        <v>362228000</v>
      </c>
      <c r="T185" s="1219">
        <f t="shared" si="95"/>
        <v>0.51961586608963128</v>
      </c>
      <c r="U185" s="1219">
        <f t="shared" si="95"/>
        <v>0.656136781228012</v>
      </c>
      <c r="V185" s="506">
        <v>45313</v>
      </c>
      <c r="W185" s="506">
        <v>45657</v>
      </c>
      <c r="X185" s="1258" t="s">
        <v>954</v>
      </c>
      <c r="Y185" s="2931"/>
    </row>
    <row r="186" spans="1:25">
      <c r="A186" s="507"/>
      <c r="B186" s="192">
        <v>5305</v>
      </c>
      <c r="C186" s="192" t="s">
        <v>101</v>
      </c>
      <c r="D186" s="182" t="s">
        <v>955</v>
      </c>
      <c r="E186" s="513"/>
      <c r="F186" s="507"/>
      <c r="G186" s="507"/>
      <c r="H186" s="507"/>
      <c r="I186" s="507"/>
      <c r="J186" s="508"/>
      <c r="K186" s="507"/>
      <c r="L186" s="507"/>
      <c r="M186" s="507"/>
      <c r="N186" s="1220"/>
      <c r="O186" s="1220"/>
      <c r="P186" s="505"/>
      <c r="Q186" s="505"/>
      <c r="R186" s="505"/>
      <c r="S186" s="505"/>
      <c r="T186" s="1219"/>
      <c r="U186" s="1219"/>
      <c r="V186" s="506"/>
      <c r="W186" s="507"/>
      <c r="X186" s="1258"/>
      <c r="Y186" s="508"/>
    </row>
    <row r="187" spans="1:25">
      <c r="A187" s="507"/>
      <c r="B187" s="192">
        <v>5305001</v>
      </c>
      <c r="C187" s="192" t="s">
        <v>102</v>
      </c>
      <c r="D187" s="182" t="s">
        <v>956</v>
      </c>
      <c r="E187" s="513"/>
      <c r="F187" s="507"/>
      <c r="G187" s="507"/>
      <c r="H187" s="507"/>
      <c r="I187" s="507"/>
      <c r="J187" s="508"/>
      <c r="K187" s="507"/>
      <c r="L187" s="507"/>
      <c r="M187" s="507"/>
      <c r="N187" s="1220"/>
      <c r="O187" s="1220"/>
      <c r="P187" s="505"/>
      <c r="Q187" s="505"/>
      <c r="R187" s="505"/>
      <c r="S187" s="505"/>
      <c r="T187" s="1219"/>
      <c r="U187" s="1219"/>
      <c r="V187" s="506"/>
      <c r="W187" s="507"/>
      <c r="X187" s="1258"/>
      <c r="Y187" s="508"/>
    </row>
    <row r="188" spans="1:25" ht="27">
      <c r="A188" s="507"/>
      <c r="B188" s="508">
        <v>53050010005</v>
      </c>
      <c r="C188" s="508" t="s">
        <v>103</v>
      </c>
      <c r="D188" s="507" t="s">
        <v>957</v>
      </c>
      <c r="E188" s="513"/>
      <c r="F188" s="507"/>
      <c r="G188" s="507"/>
      <c r="H188" s="507"/>
      <c r="I188" s="507"/>
      <c r="J188" s="508"/>
      <c r="K188" s="507"/>
      <c r="L188" s="507"/>
      <c r="M188" s="507"/>
      <c r="N188" s="1220"/>
      <c r="O188" s="1220"/>
      <c r="P188" s="505"/>
      <c r="Q188" s="505"/>
      <c r="R188" s="505"/>
      <c r="S188" s="505"/>
      <c r="T188" s="1219"/>
      <c r="U188" s="1219"/>
      <c r="V188" s="506"/>
      <c r="W188" s="507"/>
      <c r="X188" s="1258"/>
      <c r="Y188" s="508"/>
    </row>
    <row r="189" spans="1:25">
      <c r="A189" s="2935">
        <v>4133</v>
      </c>
      <c r="B189" s="192"/>
      <c r="C189" s="2935" t="s">
        <v>109</v>
      </c>
      <c r="D189" s="2933" t="s">
        <v>958</v>
      </c>
      <c r="E189" s="182" t="s">
        <v>959</v>
      </c>
      <c r="F189" s="192"/>
      <c r="G189" s="182"/>
      <c r="H189" s="192"/>
      <c r="I189" s="183"/>
      <c r="J189" s="183"/>
      <c r="K189" s="182">
        <f>K190</f>
        <v>6</v>
      </c>
      <c r="L189" s="197">
        <f>SUM(L190:L190)</f>
        <v>1</v>
      </c>
      <c r="M189" s="507"/>
      <c r="N189" s="1220">
        <f>SUM(N190)</f>
        <v>0.66666666666666663</v>
      </c>
      <c r="O189" s="2934">
        <f>IF(Q189&gt;0,N189,"na")</f>
        <v>0.66666666666666663</v>
      </c>
      <c r="P189" s="505">
        <f>SUM(P190)</f>
        <v>150000000</v>
      </c>
      <c r="Q189" s="505">
        <f t="shared" ref="Q189:S189" si="96">SUM(Q190)</f>
        <v>350000000</v>
      </c>
      <c r="R189" s="505">
        <f t="shared" si="96"/>
        <v>121722500</v>
      </c>
      <c r="S189" s="505">
        <f t="shared" si="96"/>
        <v>116491500</v>
      </c>
      <c r="T189" s="1219">
        <f>+IF(Q189=0,0,R189/Q189)</f>
        <v>0.34777857142857144</v>
      </c>
      <c r="U189" s="1219">
        <f>+IF(R189=0,0,S189/R189)</f>
        <v>0.95702520076403297</v>
      </c>
      <c r="V189" s="506"/>
      <c r="W189" s="507"/>
      <c r="X189" s="1258"/>
      <c r="Y189" s="2929" t="s">
        <v>673</v>
      </c>
    </row>
    <row r="190" spans="1:25" ht="324">
      <c r="A190" s="2935"/>
      <c r="B190" s="192"/>
      <c r="C190" s="2935"/>
      <c r="D190" s="2933"/>
      <c r="E190" s="196" t="s">
        <v>960</v>
      </c>
      <c r="F190" s="192"/>
      <c r="G190" s="182" t="s">
        <v>961</v>
      </c>
      <c r="H190" s="192"/>
      <c r="I190" s="183" t="s">
        <v>962</v>
      </c>
      <c r="J190" s="183" t="s">
        <v>498</v>
      </c>
      <c r="K190" s="182">
        <v>6</v>
      </c>
      <c r="L190" s="197">
        <v>1</v>
      </c>
      <c r="M190" s="507">
        <v>4</v>
      </c>
      <c r="N190" s="1217">
        <f t="shared" ref="N190" si="97">(M190/K190)*L190</f>
        <v>0.66666666666666663</v>
      </c>
      <c r="O190" s="2934"/>
      <c r="P190" s="485">
        <v>150000000</v>
      </c>
      <c r="Q190" s="485">
        <v>350000000</v>
      </c>
      <c r="R190" s="505">
        <v>121722500</v>
      </c>
      <c r="S190" s="505">
        <v>116491500</v>
      </c>
      <c r="T190" s="1219">
        <f t="shared" ref="T190:U190" si="98">+IF(Q190=0,0,R190/Q190)</f>
        <v>0.34777857142857144</v>
      </c>
      <c r="U190" s="1219">
        <f t="shared" si="98"/>
        <v>0.95702520076403297</v>
      </c>
      <c r="V190" s="506">
        <v>45320</v>
      </c>
      <c r="W190" s="506">
        <v>45657</v>
      </c>
      <c r="X190" s="1258" t="s">
        <v>4883</v>
      </c>
      <c r="Y190" s="2931"/>
    </row>
    <row r="191" spans="1:25">
      <c r="A191" s="507"/>
      <c r="B191" s="192">
        <v>54</v>
      </c>
      <c r="C191" s="192" t="s">
        <v>100</v>
      </c>
      <c r="D191" s="800" t="s">
        <v>108</v>
      </c>
      <c r="E191" s="513"/>
      <c r="F191" s="507"/>
      <c r="G191" s="507"/>
      <c r="H191" s="507"/>
      <c r="I191" s="507"/>
      <c r="J191" s="508"/>
      <c r="K191" s="507"/>
      <c r="L191" s="507"/>
      <c r="M191" s="507"/>
      <c r="N191" s="1220"/>
      <c r="O191" s="1220"/>
      <c r="P191" s="505"/>
      <c r="Q191" s="505"/>
      <c r="R191" s="505"/>
      <c r="S191" s="505"/>
      <c r="T191" s="1219"/>
      <c r="U191" s="1219"/>
      <c r="V191" s="506"/>
      <c r="W191" s="507"/>
      <c r="X191" s="1258"/>
      <c r="Y191" s="508"/>
    </row>
    <row r="192" spans="1:25">
      <c r="A192" s="507"/>
      <c r="B192" s="192">
        <v>5401</v>
      </c>
      <c r="C192" s="192" t="s">
        <v>101</v>
      </c>
      <c r="D192" s="182" t="s">
        <v>120</v>
      </c>
      <c r="E192" s="513"/>
      <c r="F192" s="507"/>
      <c r="G192" s="507"/>
      <c r="H192" s="507"/>
      <c r="I192" s="507"/>
      <c r="J192" s="508"/>
      <c r="K192" s="507"/>
      <c r="L192" s="507"/>
      <c r="M192" s="507"/>
      <c r="N192" s="1220"/>
      <c r="O192" s="1220"/>
      <c r="P192" s="505"/>
      <c r="Q192" s="505"/>
      <c r="R192" s="505"/>
      <c r="S192" s="505"/>
      <c r="T192" s="1219"/>
      <c r="U192" s="1219"/>
      <c r="V192" s="506"/>
      <c r="W192" s="507"/>
      <c r="X192" s="1258"/>
      <c r="Y192" s="508"/>
    </row>
    <row r="193" spans="1:25">
      <c r="A193" s="507"/>
      <c r="B193" s="192">
        <v>5402001</v>
      </c>
      <c r="C193" s="192" t="s">
        <v>102</v>
      </c>
      <c r="D193" s="182" t="s">
        <v>105</v>
      </c>
      <c r="E193" s="513"/>
      <c r="F193" s="507"/>
      <c r="G193" s="507"/>
      <c r="H193" s="507"/>
      <c r="I193" s="507"/>
      <c r="J193" s="508"/>
      <c r="K193" s="507"/>
      <c r="L193" s="507"/>
      <c r="M193" s="507"/>
      <c r="N193" s="1220"/>
      <c r="O193" s="1220"/>
      <c r="P193" s="505"/>
      <c r="Q193" s="505"/>
      <c r="R193" s="505"/>
      <c r="S193" s="505"/>
      <c r="T193" s="1219"/>
      <c r="U193" s="1219"/>
      <c r="V193" s="506"/>
      <c r="W193" s="507"/>
      <c r="X193" s="1258"/>
      <c r="Y193" s="508"/>
    </row>
    <row r="194" spans="1:25" ht="27">
      <c r="A194" s="507"/>
      <c r="B194" s="508">
        <v>54020010008</v>
      </c>
      <c r="C194" s="192" t="s">
        <v>103</v>
      </c>
      <c r="D194" s="182" t="s">
        <v>963</v>
      </c>
      <c r="E194" s="513"/>
      <c r="F194" s="507"/>
      <c r="G194" s="507"/>
      <c r="H194" s="507"/>
      <c r="I194" s="507"/>
      <c r="J194" s="508"/>
      <c r="K194" s="507"/>
      <c r="L194" s="507"/>
      <c r="M194" s="507"/>
      <c r="N194" s="1220"/>
      <c r="O194" s="1220"/>
      <c r="P194" s="505"/>
      <c r="Q194" s="505"/>
      <c r="R194" s="505"/>
      <c r="S194" s="505"/>
      <c r="T194" s="1219"/>
      <c r="U194" s="1219"/>
      <c r="V194" s="506"/>
      <c r="W194" s="507"/>
      <c r="X194" s="1258"/>
      <c r="Y194" s="508"/>
    </row>
    <row r="195" spans="1:25">
      <c r="A195" s="2935">
        <v>4133</v>
      </c>
      <c r="B195" s="192"/>
      <c r="C195" s="2935" t="s">
        <v>109</v>
      </c>
      <c r="D195" s="2933" t="s">
        <v>964</v>
      </c>
      <c r="E195" s="182" t="s">
        <v>965</v>
      </c>
      <c r="F195" s="192"/>
      <c r="G195" s="182"/>
      <c r="H195" s="495"/>
      <c r="I195" s="183"/>
      <c r="J195" s="183"/>
      <c r="K195" s="182">
        <v>1</v>
      </c>
      <c r="L195" s="197">
        <f>SUM(L196)</f>
        <v>1</v>
      </c>
      <c r="M195" s="507"/>
      <c r="N195" s="1220">
        <f>SUM(N196)</f>
        <v>0.5</v>
      </c>
      <c r="O195" s="2934">
        <f>IF(Q195&gt;0,N195,"na")</f>
        <v>0.5</v>
      </c>
      <c r="P195" s="505">
        <f>SUM(P196)</f>
        <v>3400000000</v>
      </c>
      <c r="Q195" s="505">
        <f t="shared" ref="Q195:S195" si="99">SUM(Q196)</f>
        <v>5239439494</v>
      </c>
      <c r="R195" s="505">
        <f t="shared" si="99"/>
        <v>4162142982</v>
      </c>
      <c r="S195" s="505">
        <f t="shared" si="99"/>
        <v>2886037151</v>
      </c>
      <c r="T195" s="1219">
        <f>+IF(Q195=0,0,R195/Q195)</f>
        <v>0.79438706883939059</v>
      </c>
      <c r="U195" s="1219">
        <f>+IF(R195=0,0,S195/R195)</f>
        <v>0.69340173162748886</v>
      </c>
      <c r="V195" s="506"/>
      <c r="W195" s="507"/>
      <c r="X195" s="1258"/>
      <c r="Y195" s="2929" t="s">
        <v>970</v>
      </c>
    </row>
    <row r="196" spans="1:25" ht="108">
      <c r="A196" s="2935"/>
      <c r="B196" s="192"/>
      <c r="C196" s="2935"/>
      <c r="D196" s="2933"/>
      <c r="E196" s="196" t="s">
        <v>966</v>
      </c>
      <c r="F196" s="192"/>
      <c r="G196" s="182" t="s">
        <v>967</v>
      </c>
      <c r="H196" s="495"/>
      <c r="I196" s="183" t="s">
        <v>968</v>
      </c>
      <c r="J196" s="183" t="s">
        <v>969</v>
      </c>
      <c r="K196" s="182">
        <v>1</v>
      </c>
      <c r="L196" s="197">
        <v>1</v>
      </c>
      <c r="M196" s="507">
        <v>0.5</v>
      </c>
      <c r="N196" s="1217">
        <f>(M196/K196)*L196</f>
        <v>0.5</v>
      </c>
      <c r="O196" s="2934"/>
      <c r="P196" s="485">
        <v>3400000000</v>
      </c>
      <c r="Q196" s="485">
        <v>5239439494</v>
      </c>
      <c r="R196" s="505">
        <v>4162142982</v>
      </c>
      <c r="S196" s="505">
        <v>2886037151</v>
      </c>
      <c r="T196" s="1219">
        <f t="shared" ref="T196" si="100">+IF(Q196=0,0,R196/Q196)</f>
        <v>0.79438706883939059</v>
      </c>
      <c r="U196" s="1219">
        <f>+IF(R196=0,0,S196/R196)</f>
        <v>0.69340173162748886</v>
      </c>
      <c r="V196" s="506">
        <v>45309</v>
      </c>
      <c r="W196" s="506">
        <v>45657</v>
      </c>
      <c r="X196" s="1258" t="s">
        <v>4884</v>
      </c>
      <c r="Y196" s="2931"/>
    </row>
    <row r="197" spans="1:25">
      <c r="A197" s="507"/>
      <c r="B197" s="192">
        <v>5402002</v>
      </c>
      <c r="C197" s="192" t="s">
        <v>102</v>
      </c>
      <c r="D197" s="182" t="s">
        <v>527</v>
      </c>
      <c r="E197" s="513"/>
      <c r="F197" s="507"/>
      <c r="G197" s="507"/>
      <c r="H197" s="507"/>
      <c r="I197" s="507"/>
      <c r="J197" s="508"/>
      <c r="K197" s="507"/>
      <c r="L197" s="507"/>
      <c r="M197" s="507"/>
      <c r="N197" s="1220"/>
      <c r="O197" s="1220"/>
      <c r="P197" s="505"/>
      <c r="Q197" s="505"/>
      <c r="R197" s="505"/>
      <c r="S197" s="505"/>
      <c r="T197" s="1219"/>
      <c r="U197" s="1219"/>
      <c r="V197" s="506"/>
      <c r="W197" s="507"/>
      <c r="X197" s="1258"/>
      <c r="Y197" s="508"/>
    </row>
    <row r="198" spans="1:25" ht="27">
      <c r="A198" s="507"/>
      <c r="B198" s="508">
        <v>54020020015</v>
      </c>
      <c r="C198" s="192" t="s">
        <v>103</v>
      </c>
      <c r="D198" s="182" t="s">
        <v>971</v>
      </c>
      <c r="E198" s="513"/>
      <c r="F198" s="507"/>
      <c r="G198" s="507"/>
      <c r="H198" s="507"/>
      <c r="I198" s="507"/>
      <c r="J198" s="508"/>
      <c r="K198" s="507"/>
      <c r="L198" s="507"/>
      <c r="M198" s="507"/>
      <c r="N198" s="1220"/>
      <c r="O198" s="1220"/>
      <c r="P198" s="505"/>
      <c r="Q198" s="505"/>
      <c r="R198" s="505"/>
      <c r="S198" s="505"/>
      <c r="T198" s="1219"/>
      <c r="U198" s="1219"/>
      <c r="V198" s="506"/>
      <c r="W198" s="507"/>
      <c r="X198" s="1258"/>
      <c r="Y198" s="508"/>
    </row>
    <row r="199" spans="1:25">
      <c r="A199" s="2935">
        <v>4133</v>
      </c>
      <c r="B199" s="192"/>
      <c r="C199" s="2935" t="s">
        <v>109</v>
      </c>
      <c r="D199" s="2933" t="s">
        <v>972</v>
      </c>
      <c r="E199" s="182" t="s">
        <v>973</v>
      </c>
      <c r="F199" s="192"/>
      <c r="G199" s="182"/>
      <c r="H199" s="496"/>
      <c r="I199" s="183"/>
      <c r="J199" s="183"/>
      <c r="K199" s="182">
        <v>1</v>
      </c>
      <c r="L199" s="197">
        <f>+L200+L201</f>
        <v>1</v>
      </c>
      <c r="M199" s="507"/>
      <c r="N199" s="1220">
        <f>SUM(N201)</f>
        <v>0</v>
      </c>
      <c r="O199" s="2934">
        <f>IF(Q199&gt;0,N199,"na")</f>
        <v>0</v>
      </c>
      <c r="P199" s="505">
        <f>SUM(P200:P201)</f>
        <v>120000000</v>
      </c>
      <c r="Q199" s="505">
        <f t="shared" ref="Q199:S199" si="101">SUM(Q200:Q201)</f>
        <v>180000000</v>
      </c>
      <c r="R199" s="505">
        <f t="shared" si="101"/>
        <v>77549000</v>
      </c>
      <c r="S199" s="505">
        <f t="shared" si="101"/>
        <v>40613000</v>
      </c>
      <c r="T199" s="1219">
        <f>+IF(Q199=0,0,R199/Q199)</f>
        <v>0.43082777777777775</v>
      </c>
      <c r="U199" s="1219">
        <f>+IF(R199=0,0,S199/R199)</f>
        <v>0.52370759132935307</v>
      </c>
      <c r="V199" s="506"/>
      <c r="W199" s="507"/>
      <c r="X199" s="1258"/>
      <c r="Y199" s="2929" t="s">
        <v>970</v>
      </c>
    </row>
    <row r="200" spans="1:25" ht="94.5">
      <c r="A200" s="2935"/>
      <c r="B200" s="192"/>
      <c r="C200" s="2935"/>
      <c r="D200" s="2933"/>
      <c r="E200" s="196" t="s">
        <v>974</v>
      </c>
      <c r="F200" s="192"/>
      <c r="G200" s="2975" t="s">
        <v>975</v>
      </c>
      <c r="H200" s="496"/>
      <c r="I200" s="183" t="s">
        <v>976</v>
      </c>
      <c r="J200" s="183" t="s">
        <v>4885</v>
      </c>
      <c r="K200" s="198">
        <v>1</v>
      </c>
      <c r="L200" s="197">
        <v>0.9</v>
      </c>
      <c r="M200" s="507">
        <v>0.5</v>
      </c>
      <c r="N200" s="1217">
        <f t="shared" ref="N200" si="102">(M200/K200)*L200</f>
        <v>0.45</v>
      </c>
      <c r="O200" s="2934"/>
      <c r="P200" s="485">
        <v>120000000</v>
      </c>
      <c r="Q200" s="485">
        <v>161848000</v>
      </c>
      <c r="R200" s="505">
        <v>77549000</v>
      </c>
      <c r="S200" s="505">
        <v>40613000</v>
      </c>
      <c r="T200" s="1219">
        <f t="shared" ref="T200:U201" si="103">+IF(Q200=0,0,R200/Q200)</f>
        <v>0.479147100983639</v>
      </c>
      <c r="U200" s="1219">
        <f>+IF(R200=0,0,S200/R200)</f>
        <v>0.52370759132935307</v>
      </c>
      <c r="V200" s="506">
        <v>45313</v>
      </c>
      <c r="W200" s="506">
        <v>45657</v>
      </c>
      <c r="X200" s="1258" t="s">
        <v>4886</v>
      </c>
      <c r="Y200" s="2930"/>
    </row>
    <row r="201" spans="1:25" ht="54">
      <c r="A201" s="2935"/>
      <c r="B201" s="192"/>
      <c r="C201" s="2935"/>
      <c r="D201" s="2933"/>
      <c r="E201" s="196" t="s">
        <v>4887</v>
      </c>
      <c r="F201" s="192"/>
      <c r="G201" s="2976"/>
      <c r="H201" s="496"/>
      <c r="I201" s="183" t="s">
        <v>4888</v>
      </c>
      <c r="J201" s="183" t="s">
        <v>4889</v>
      </c>
      <c r="K201" s="198">
        <v>1</v>
      </c>
      <c r="L201" s="197">
        <v>0.1</v>
      </c>
      <c r="M201" s="507">
        <v>0</v>
      </c>
      <c r="N201" s="1217">
        <f>(M201/K201)*L201</f>
        <v>0</v>
      </c>
      <c r="O201" s="2934"/>
      <c r="P201" s="485">
        <v>0</v>
      </c>
      <c r="Q201" s="485">
        <v>18152000</v>
      </c>
      <c r="R201" s="505">
        <v>0</v>
      </c>
      <c r="S201" s="505">
        <v>0</v>
      </c>
      <c r="T201" s="1219">
        <f t="shared" si="103"/>
        <v>0</v>
      </c>
      <c r="U201" s="1219">
        <f t="shared" si="103"/>
        <v>0</v>
      </c>
      <c r="V201" s="506"/>
      <c r="W201" s="506"/>
      <c r="X201" s="1258"/>
      <c r="Y201" s="2931"/>
    </row>
    <row r="202" spans="1:25">
      <c r="A202" s="192"/>
      <c r="B202" s="192"/>
      <c r="C202" s="192"/>
      <c r="D202" s="183"/>
      <c r="E202" s="196"/>
      <c r="F202" s="192"/>
      <c r="G202" s="1229"/>
      <c r="H202" s="496"/>
      <c r="I202" s="183"/>
      <c r="J202" s="183"/>
      <c r="K202" s="198"/>
      <c r="L202" s="197"/>
      <c r="M202" s="507"/>
      <c r="N202" s="1217"/>
      <c r="O202" s="1218"/>
      <c r="P202" s="485"/>
      <c r="Q202" s="485"/>
      <c r="R202" s="505"/>
      <c r="S202" s="505"/>
      <c r="T202" s="1219"/>
      <c r="U202" s="1219"/>
      <c r="V202" s="506"/>
      <c r="W202" s="506"/>
      <c r="X202" s="1258"/>
      <c r="Y202" s="941"/>
    </row>
    <row r="203" spans="1:25">
      <c r="A203" s="2935">
        <v>4133</v>
      </c>
      <c r="B203" s="192"/>
      <c r="C203" s="2935" t="s">
        <v>109</v>
      </c>
      <c r="D203" s="2933" t="s">
        <v>977</v>
      </c>
      <c r="E203" s="182" t="s">
        <v>978</v>
      </c>
      <c r="F203" s="192"/>
      <c r="G203" s="182"/>
      <c r="H203" s="496"/>
      <c r="I203" s="183"/>
      <c r="J203" s="183"/>
      <c r="K203" s="182">
        <f>K205</f>
        <v>1</v>
      </c>
      <c r="L203" s="197">
        <f>SUM(L204:L205)</f>
        <v>1</v>
      </c>
      <c r="M203" s="507"/>
      <c r="N203" s="1220">
        <f>SUM(N204:N205)</f>
        <v>0</v>
      </c>
      <c r="O203" s="2934">
        <f>IF(Q203&gt;0,N203,"na")</f>
        <v>0</v>
      </c>
      <c r="P203" s="505">
        <f>SUM(P204:P205)</f>
        <v>157670089</v>
      </c>
      <c r="Q203" s="505">
        <f t="shared" ref="Q203:S203" si="104">SUM(Q204:Q205)</f>
        <v>157670089</v>
      </c>
      <c r="R203" s="505">
        <f t="shared" si="104"/>
        <v>0</v>
      </c>
      <c r="S203" s="505">
        <f t="shared" si="104"/>
        <v>0</v>
      </c>
      <c r="T203" s="1219">
        <f>+IF(Q203=0,0,R203/Q203)</f>
        <v>0</v>
      </c>
      <c r="U203" s="1219">
        <f>+IF(R203=0,0,S203/R203)</f>
        <v>0</v>
      </c>
      <c r="V203" s="507"/>
      <c r="W203" s="507"/>
      <c r="X203" s="1258"/>
      <c r="Y203" s="2929" t="s">
        <v>634</v>
      </c>
    </row>
    <row r="204" spans="1:25" ht="54">
      <c r="A204" s="2935"/>
      <c r="B204" s="192"/>
      <c r="C204" s="2935"/>
      <c r="D204" s="2933"/>
      <c r="E204" s="196" t="s">
        <v>979</v>
      </c>
      <c r="F204" s="192"/>
      <c r="G204" s="2933" t="s">
        <v>980</v>
      </c>
      <c r="H204" s="496"/>
      <c r="I204" s="183" t="s">
        <v>981</v>
      </c>
      <c r="J204" s="183" t="s">
        <v>982</v>
      </c>
      <c r="K204" s="182">
        <v>2</v>
      </c>
      <c r="L204" s="197">
        <v>0.46</v>
      </c>
      <c r="M204" s="507">
        <v>0</v>
      </c>
      <c r="N204" s="1217">
        <f t="shared" ref="N204:N205" si="105">(M204/K204)*L204</f>
        <v>0</v>
      </c>
      <c r="O204" s="2934"/>
      <c r="P204" s="485">
        <v>72000000</v>
      </c>
      <c r="Q204" s="485">
        <v>72000000</v>
      </c>
      <c r="R204" s="505">
        <v>0</v>
      </c>
      <c r="S204" s="505">
        <v>0</v>
      </c>
      <c r="T204" s="1219">
        <f t="shared" ref="T204:U205" si="106">+IF(Q204=0,0,R204/Q204)</f>
        <v>0</v>
      </c>
      <c r="U204" s="1219">
        <f t="shared" si="106"/>
        <v>0</v>
      </c>
      <c r="V204" s="507"/>
      <c r="W204" s="507"/>
      <c r="X204" s="1258"/>
      <c r="Y204" s="2930"/>
    </row>
    <row r="205" spans="1:25" ht="94.5">
      <c r="A205" s="2977"/>
      <c r="B205" s="191"/>
      <c r="C205" s="2977"/>
      <c r="D205" s="2978"/>
      <c r="E205" s="203" t="s">
        <v>983</v>
      </c>
      <c r="F205" s="191"/>
      <c r="G205" s="2978"/>
      <c r="H205" s="516"/>
      <c r="I205" s="202" t="s">
        <v>984</v>
      </c>
      <c r="J205" s="202" t="s">
        <v>125</v>
      </c>
      <c r="K205" s="366">
        <v>1</v>
      </c>
      <c r="L205" s="204">
        <v>0.54</v>
      </c>
      <c r="M205" s="517">
        <v>0</v>
      </c>
      <c r="N205" s="1230">
        <f t="shared" si="105"/>
        <v>0</v>
      </c>
      <c r="O205" s="2979"/>
      <c r="P205" s="1231">
        <v>85670089</v>
      </c>
      <c r="Q205" s="1231">
        <v>85670089</v>
      </c>
      <c r="R205" s="518">
        <v>0</v>
      </c>
      <c r="S205" s="518">
        <v>0</v>
      </c>
      <c r="T205" s="856">
        <f t="shared" si="106"/>
        <v>0</v>
      </c>
      <c r="U205" s="856">
        <f t="shared" si="106"/>
        <v>0</v>
      </c>
      <c r="V205" s="517"/>
      <c r="W205" s="517"/>
      <c r="X205" s="1258"/>
      <c r="Y205" s="2980"/>
    </row>
    <row r="206" spans="1:25">
      <c r="A206" s="121"/>
      <c r="B206" s="106"/>
      <c r="C206" s="106"/>
      <c r="D206" s="121"/>
      <c r="E206" s="104"/>
      <c r="F206" s="121"/>
      <c r="G206" s="121"/>
      <c r="H206" s="121"/>
      <c r="I206" s="121"/>
      <c r="J206" s="106"/>
      <c r="K206" s="121"/>
      <c r="L206" s="121"/>
      <c r="M206" s="121"/>
      <c r="N206" s="1232"/>
      <c r="O206" s="1232"/>
      <c r="P206" s="497"/>
      <c r="Q206" s="497"/>
      <c r="R206" s="497"/>
      <c r="S206" s="497"/>
      <c r="T206" s="1233"/>
      <c r="U206" s="1233"/>
      <c r="V206" s="498"/>
      <c r="W206" s="121"/>
      <c r="X206" s="121"/>
      <c r="Y206" s="106"/>
    </row>
    <row r="207" spans="1:25">
      <c r="A207" s="121"/>
      <c r="B207" s="1252" t="s">
        <v>36</v>
      </c>
      <c r="C207" s="611">
        <f>COUNTIF(C11:C205,"pr")</f>
        <v>43</v>
      </c>
      <c r="D207" s="121"/>
      <c r="E207" s="2974" t="s">
        <v>112</v>
      </c>
      <c r="F207" s="2974"/>
      <c r="G207" s="1253">
        <f>COUNTIF(O11:O205,"na")</f>
        <v>0</v>
      </c>
      <c r="H207" s="121"/>
      <c r="I207" s="121"/>
      <c r="J207" s="106"/>
      <c r="K207" s="121"/>
      <c r="L207" s="121"/>
      <c r="M207" s="1253" t="s">
        <v>113</v>
      </c>
      <c r="N207" s="1253"/>
      <c r="O207" s="1254">
        <f>AVERAGE(O11:O205)</f>
        <v>0.28545641778044795</v>
      </c>
      <c r="P207" s="497">
        <f>P11+P15+P21+P26+P32+P37+P41+P48+P54+P57+P60+P63+P66+P69+P72+P78+P82+P86+P90+P95+P100+P106+P109+P115+P121+P126+P130+P134+P137+P140+P147+P153+P157+P161+P166+P169+P174+P179+P183+P189+P195+P199+P203</f>
        <v>42926039107</v>
      </c>
      <c r="Q207" s="497">
        <f>Q11+Q15+Q21+Q26+Q32+Q37+Q41+Q48+Q54+Q57+Q60+Q63+Q66+Q69+Q72+Q78+Q82+Q86+Q90+Q95+Q100+Q106+Q109+Q115+Q121+Q126+Q130+Q134+Q137+Q140+Q147+Q153+Q157+Q161+Q166+Q169+Q174+Q179+Q183+Q189+Q195+Q199+Q203</f>
        <v>65640555496</v>
      </c>
      <c r="R207" s="497">
        <f>R11+R15+R21+R26+R32+R37+R41+R48+R54+R57+R60+R63+R66+R69+R72+R78+R82+R86+R90+R95+R100+R106+R109+R115+R121+R126+R130+R134+R137+R140+R147+R153+R157+R161+R166+R169+R174+R179+R183+R189+R195+R199+R203</f>
        <v>23327197843</v>
      </c>
      <c r="S207" s="497">
        <f>S11+S15+S21+S26+S32+S37+S41+S48+S54+S57+S60+S63+S66+S69+S72+S78+S82+S86+S90+S95+S100+S106+S109+S115+S121+S126+S130+S134+S137+S140+S147+S153+S157+S161+S166+S169+S174+S179+S183+S189+S195+S199+S203</f>
        <v>11536708060</v>
      </c>
      <c r="T207" s="1233">
        <f>+IF(Q207=0,0,R207/Q207)</f>
        <v>0.35537782498537068</v>
      </c>
      <c r="U207" s="1233">
        <f>+IF(R207=0,0,S207/R207)</f>
        <v>0.49456038987820061</v>
      </c>
      <c r="V207" s="498"/>
      <c r="W207" s="121"/>
      <c r="X207" s="121"/>
      <c r="Y207" s="106"/>
    </row>
    <row r="208" spans="1:25">
      <c r="A208" s="121"/>
      <c r="B208" s="106"/>
      <c r="C208" s="106"/>
      <c r="D208" s="121"/>
      <c r="E208" s="104"/>
      <c r="F208" s="121"/>
      <c r="G208" s="121"/>
      <c r="H208" s="121"/>
      <c r="I208" s="121"/>
      <c r="J208" s="106"/>
      <c r="K208" s="121"/>
      <c r="L208" s="1257"/>
      <c r="M208" s="1255" t="s">
        <v>133</v>
      </c>
      <c r="O208" s="1256">
        <f>COUNTIF(O11:O205,"=0%")</f>
        <v>13</v>
      </c>
      <c r="P208" s="497">
        <v>42926039107</v>
      </c>
      <c r="Q208" s="497">
        <v>65640555496</v>
      </c>
      <c r="R208" s="497">
        <v>23327197843</v>
      </c>
      <c r="S208" s="497">
        <v>11536708060</v>
      </c>
      <c r="T208" s="1232"/>
      <c r="U208" s="1232"/>
      <c r="V208" s="498"/>
      <c r="W208" s="121"/>
      <c r="X208" s="121"/>
      <c r="Y208" s="106"/>
    </row>
  </sheetData>
  <mergeCells count="276">
    <mergeCell ref="E207:F207"/>
    <mergeCell ref="A199:A201"/>
    <mergeCell ref="C199:C201"/>
    <mergeCell ref="D199:D201"/>
    <mergeCell ref="O199:O201"/>
    <mergeCell ref="Y199:Y201"/>
    <mergeCell ref="G200:G201"/>
    <mergeCell ref="A203:A205"/>
    <mergeCell ref="C203:C205"/>
    <mergeCell ref="D203:D205"/>
    <mergeCell ref="O203:O205"/>
    <mergeCell ref="Y203:Y205"/>
    <mergeCell ref="G204:G205"/>
    <mergeCell ref="A189:A190"/>
    <mergeCell ref="C189:C190"/>
    <mergeCell ref="D189:D190"/>
    <mergeCell ref="O189:O190"/>
    <mergeCell ref="Y189:Y190"/>
    <mergeCell ref="A195:A196"/>
    <mergeCell ref="C195:C196"/>
    <mergeCell ref="D195:D196"/>
    <mergeCell ref="O195:O196"/>
    <mergeCell ref="Y195:Y196"/>
    <mergeCell ref="A179:A181"/>
    <mergeCell ref="C179:C181"/>
    <mergeCell ref="D179:D181"/>
    <mergeCell ref="O179:O181"/>
    <mergeCell ref="Y179:Y181"/>
    <mergeCell ref="A183:A185"/>
    <mergeCell ref="C183:C185"/>
    <mergeCell ref="D183:D185"/>
    <mergeCell ref="O183:O185"/>
    <mergeCell ref="Y183:Y185"/>
    <mergeCell ref="G184:G185"/>
    <mergeCell ref="H184:H185"/>
    <mergeCell ref="G148:G149"/>
    <mergeCell ref="H148:H149"/>
    <mergeCell ref="A153:A154"/>
    <mergeCell ref="C153:C154"/>
    <mergeCell ref="D153:D154"/>
    <mergeCell ref="O153:O154"/>
    <mergeCell ref="Y153:Y154"/>
    <mergeCell ref="A157:A159"/>
    <mergeCell ref="C157:C159"/>
    <mergeCell ref="D157:D159"/>
    <mergeCell ref="O157:O159"/>
    <mergeCell ref="Y157:Y159"/>
    <mergeCell ref="G158:G159"/>
    <mergeCell ref="H158:H159"/>
    <mergeCell ref="A147:A149"/>
    <mergeCell ref="C147:C149"/>
    <mergeCell ref="D147:D149"/>
    <mergeCell ref="O147:O149"/>
    <mergeCell ref="G122:G123"/>
    <mergeCell ref="H122:H123"/>
    <mergeCell ref="A126:A128"/>
    <mergeCell ref="C126:C128"/>
    <mergeCell ref="D126:D128"/>
    <mergeCell ref="O126:O128"/>
    <mergeCell ref="Y126:Y128"/>
    <mergeCell ref="G127:G128"/>
    <mergeCell ref="H127:H128"/>
    <mergeCell ref="A121:A123"/>
    <mergeCell ref="C121:C123"/>
    <mergeCell ref="D121:D123"/>
    <mergeCell ref="O121:O123"/>
    <mergeCell ref="Y121:Y123"/>
    <mergeCell ref="A82:A84"/>
    <mergeCell ref="C82:C84"/>
    <mergeCell ref="D82:D84"/>
    <mergeCell ref="O82:O84"/>
    <mergeCell ref="Y82:Y84"/>
    <mergeCell ref="G83:G84"/>
    <mergeCell ref="A72:A73"/>
    <mergeCell ref="C72:C73"/>
    <mergeCell ref="D72:D73"/>
    <mergeCell ref="O72:O73"/>
    <mergeCell ref="A63:A64"/>
    <mergeCell ref="C63:C64"/>
    <mergeCell ref="D63:D64"/>
    <mergeCell ref="O63:O64"/>
    <mergeCell ref="Y72:Y73"/>
    <mergeCell ref="A78:A80"/>
    <mergeCell ref="C78:C80"/>
    <mergeCell ref="D78:D80"/>
    <mergeCell ref="O78:O80"/>
    <mergeCell ref="Y78:Y80"/>
    <mergeCell ref="A66:A67"/>
    <mergeCell ref="C66:C67"/>
    <mergeCell ref="D66:D67"/>
    <mergeCell ref="O66:O67"/>
    <mergeCell ref="Y66:Y67"/>
    <mergeCell ref="A69:A70"/>
    <mergeCell ref="C69:C70"/>
    <mergeCell ref="D69:D70"/>
    <mergeCell ref="O69:O70"/>
    <mergeCell ref="Y69:Y70"/>
    <mergeCell ref="A60:A61"/>
    <mergeCell ref="C60:C61"/>
    <mergeCell ref="D60:D61"/>
    <mergeCell ref="O60:O61"/>
    <mergeCell ref="Y60:Y61"/>
    <mergeCell ref="A48:A52"/>
    <mergeCell ref="C48:C52"/>
    <mergeCell ref="D48:D52"/>
    <mergeCell ref="O48:O52"/>
    <mergeCell ref="A54:A55"/>
    <mergeCell ref="C54:C55"/>
    <mergeCell ref="D54:D55"/>
    <mergeCell ref="O54:O55"/>
    <mergeCell ref="A32:A35"/>
    <mergeCell ref="C32:C35"/>
    <mergeCell ref="D32:D35"/>
    <mergeCell ref="O32:O35"/>
    <mergeCell ref="Y48:Y52"/>
    <mergeCell ref="G49:G50"/>
    <mergeCell ref="A57:A58"/>
    <mergeCell ref="C57:C58"/>
    <mergeCell ref="D57:D58"/>
    <mergeCell ref="O57:O58"/>
    <mergeCell ref="Y57:Y58"/>
    <mergeCell ref="A37:A39"/>
    <mergeCell ref="C37:C39"/>
    <mergeCell ref="D37:D39"/>
    <mergeCell ref="O37:O39"/>
    <mergeCell ref="Y37:Y39"/>
    <mergeCell ref="A41:A43"/>
    <mergeCell ref="C41:C43"/>
    <mergeCell ref="D41:D43"/>
    <mergeCell ref="O41:O43"/>
    <mergeCell ref="Y41:Y43"/>
    <mergeCell ref="G42:G43"/>
    <mergeCell ref="G16:G19"/>
    <mergeCell ref="H16:H19"/>
    <mergeCell ref="A21:A24"/>
    <mergeCell ref="C21:C24"/>
    <mergeCell ref="D21:D24"/>
    <mergeCell ref="O21:O24"/>
    <mergeCell ref="Y21:Y24"/>
    <mergeCell ref="A26:A28"/>
    <mergeCell ref="C26:C28"/>
    <mergeCell ref="D26:D28"/>
    <mergeCell ref="Y27:Y29"/>
    <mergeCell ref="A15:A19"/>
    <mergeCell ref="C15:C19"/>
    <mergeCell ref="D15:D19"/>
    <mergeCell ref="O15:O19"/>
    <mergeCell ref="A1:X1"/>
    <mergeCell ref="C5:C6"/>
    <mergeCell ref="R5:R6"/>
    <mergeCell ref="D5:D6"/>
    <mergeCell ref="F5:F6"/>
    <mergeCell ref="I5:I6"/>
    <mergeCell ref="A4:Y4"/>
    <mergeCell ref="T5:T6"/>
    <mergeCell ref="N5:N6"/>
    <mergeCell ref="W5:W6"/>
    <mergeCell ref="A2:Y2"/>
    <mergeCell ref="A3:B3"/>
    <mergeCell ref="C3:R3"/>
    <mergeCell ref="S3:U3"/>
    <mergeCell ref="V3:W3"/>
    <mergeCell ref="A5:A6"/>
    <mergeCell ref="Y5:Y6"/>
    <mergeCell ref="B5:B6"/>
    <mergeCell ref="X5:X6"/>
    <mergeCell ref="M5:M6"/>
    <mergeCell ref="S5:S6"/>
    <mergeCell ref="E5:E6"/>
    <mergeCell ref="U5:U6"/>
    <mergeCell ref="V5:V6"/>
    <mergeCell ref="Q5:Q6"/>
    <mergeCell ref="L5:L6"/>
    <mergeCell ref="K5:K6"/>
    <mergeCell ref="O5:O6"/>
    <mergeCell ref="P5:P6"/>
    <mergeCell ref="J5:J6"/>
    <mergeCell ref="G5:G6"/>
    <mergeCell ref="H5:H6"/>
    <mergeCell ref="A11:A13"/>
    <mergeCell ref="C11:C13"/>
    <mergeCell ref="D11:D13"/>
    <mergeCell ref="O11:O13"/>
    <mergeCell ref="G12:G13"/>
    <mergeCell ref="H12:H13"/>
    <mergeCell ref="A95:A98"/>
    <mergeCell ref="C95:C98"/>
    <mergeCell ref="D95:D98"/>
    <mergeCell ref="O95:O98"/>
    <mergeCell ref="A86:A88"/>
    <mergeCell ref="C86:C88"/>
    <mergeCell ref="D86:D88"/>
    <mergeCell ref="O86:O88"/>
    <mergeCell ref="A90:A92"/>
    <mergeCell ref="C90:C92"/>
    <mergeCell ref="D90:D92"/>
    <mergeCell ref="O90:O92"/>
    <mergeCell ref="G96:G98"/>
    <mergeCell ref="H96:H98"/>
    <mergeCell ref="A100:A104"/>
    <mergeCell ref="C100:C104"/>
    <mergeCell ref="D100:D104"/>
    <mergeCell ref="O100:O104"/>
    <mergeCell ref="G101:G104"/>
    <mergeCell ref="H101:H104"/>
    <mergeCell ref="A106:A107"/>
    <mergeCell ref="C106:C107"/>
    <mergeCell ref="D106:D107"/>
    <mergeCell ref="O106:O107"/>
    <mergeCell ref="A109:A112"/>
    <mergeCell ref="C109:C112"/>
    <mergeCell ref="D109:D112"/>
    <mergeCell ref="O109:O112"/>
    <mergeCell ref="Y109:Y112"/>
    <mergeCell ref="G110:G112"/>
    <mergeCell ref="H110:H112"/>
    <mergeCell ref="A115:A118"/>
    <mergeCell ref="C115:C118"/>
    <mergeCell ref="D115:D118"/>
    <mergeCell ref="O115:O118"/>
    <mergeCell ref="Y115:Y118"/>
    <mergeCell ref="A130:A132"/>
    <mergeCell ref="C130:C132"/>
    <mergeCell ref="D130:D132"/>
    <mergeCell ref="O130:O132"/>
    <mergeCell ref="Y130:Y132"/>
    <mergeCell ref="G131:G132"/>
    <mergeCell ref="H131:H132"/>
    <mergeCell ref="A134:A135"/>
    <mergeCell ref="C134:C135"/>
    <mergeCell ref="D134:D135"/>
    <mergeCell ref="O134:O135"/>
    <mergeCell ref="Y134:Y135"/>
    <mergeCell ref="A137:A138"/>
    <mergeCell ref="C137:C138"/>
    <mergeCell ref="D137:D138"/>
    <mergeCell ref="O137:O138"/>
    <mergeCell ref="Y137:Y138"/>
    <mergeCell ref="A140:A144"/>
    <mergeCell ref="C140:C144"/>
    <mergeCell ref="D140:D144"/>
    <mergeCell ref="O140:O144"/>
    <mergeCell ref="G141:G144"/>
    <mergeCell ref="H141:H144"/>
    <mergeCell ref="A161:A164"/>
    <mergeCell ref="C161:C164"/>
    <mergeCell ref="D161:D164"/>
    <mergeCell ref="O161:O164"/>
    <mergeCell ref="Y161:Y164"/>
    <mergeCell ref="A174:A176"/>
    <mergeCell ref="C174:C176"/>
    <mergeCell ref="D174:D176"/>
    <mergeCell ref="O174:O176"/>
    <mergeCell ref="A166:A167"/>
    <mergeCell ref="C166:C167"/>
    <mergeCell ref="D166:D167"/>
    <mergeCell ref="O166:O167"/>
    <mergeCell ref="Y166:Y167"/>
    <mergeCell ref="A169:A171"/>
    <mergeCell ref="C169:C171"/>
    <mergeCell ref="D169:D171"/>
    <mergeCell ref="O169:O171"/>
    <mergeCell ref="Y169:Y171"/>
    <mergeCell ref="Y174:Y176"/>
    <mergeCell ref="Y11:Y13"/>
    <mergeCell ref="Y54:Y55"/>
    <mergeCell ref="Y95:Y98"/>
    <mergeCell ref="Y86:Y88"/>
    <mergeCell ref="Y90:Y92"/>
    <mergeCell ref="Y100:Y104"/>
    <mergeCell ref="Y106:Y107"/>
    <mergeCell ref="Y140:Y144"/>
    <mergeCell ref="Y147:Y149"/>
    <mergeCell ref="Y15:Y19"/>
    <mergeCell ref="Y32:Y35"/>
    <mergeCell ref="Y63:Y64"/>
  </mergeCell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51"/>
  <sheetViews>
    <sheetView topLeftCell="F44" zoomScale="70" zoomScaleNormal="70" zoomScaleSheetLayoutView="100" workbookViewId="0">
      <selection activeCell="K50" sqref="K50"/>
    </sheetView>
  </sheetViews>
  <sheetFormatPr baseColWidth="10" defaultColWidth="11.42578125" defaultRowHeight="16.5"/>
  <cols>
    <col min="1" max="1" width="12.7109375" style="2" customWidth="1"/>
    <col min="2" max="2" width="10.7109375" style="3" customWidth="1"/>
    <col min="3" max="3" width="8.7109375" style="2" customWidth="1"/>
    <col min="4" max="4" width="39.85546875" style="3" customWidth="1"/>
    <col min="5" max="5" width="14.42578125" style="3" customWidth="1"/>
    <col min="6" max="6" width="12.7109375" style="3" customWidth="1"/>
    <col min="7" max="7" width="17.85546875" style="3" customWidth="1"/>
    <col min="8" max="8" width="12.7109375" style="3" customWidth="1"/>
    <col min="9" max="9" width="17.85546875" style="3" customWidth="1"/>
    <col min="10" max="10" width="17.42578125" style="2" customWidth="1"/>
    <col min="11" max="11" width="12.7109375" style="16" customWidth="1"/>
    <col min="12" max="12" width="11" style="16" customWidth="1"/>
    <col min="13" max="13" width="12.7109375" style="16" customWidth="1"/>
    <col min="14" max="14" width="12.7109375" style="3" customWidth="1"/>
    <col min="15" max="15" width="10.85546875" style="2" customWidth="1"/>
    <col min="16" max="21" width="14.7109375" style="3" customWidth="1"/>
    <col min="22" max="22" width="13.140625" style="3" customWidth="1"/>
    <col min="23" max="23" width="10.7109375" style="3" customWidth="1"/>
    <col min="24" max="24" width="32.7109375" style="3" customWidth="1"/>
    <col min="25" max="25" width="17.140625" style="17" customWidth="1"/>
    <col min="26" max="26" width="11.42578125" style="3"/>
    <col min="27" max="27" width="12.42578125" style="3" bestFit="1" customWidth="1"/>
    <col min="28" max="16384" width="11.42578125" style="3"/>
  </cols>
  <sheetData>
    <row r="1" spans="1:25" ht="99.95" customHeight="1">
      <c r="A1" s="2840"/>
      <c r="B1" s="2840"/>
      <c r="C1" s="2840"/>
      <c r="D1" s="2840"/>
      <c r="E1" s="2840"/>
      <c r="F1" s="2840"/>
      <c r="G1" s="2840"/>
      <c r="H1" s="2840"/>
      <c r="I1" s="2840"/>
      <c r="J1" s="2840"/>
      <c r="K1" s="2840"/>
      <c r="L1" s="2840"/>
      <c r="M1" s="2840"/>
      <c r="N1" s="2840"/>
      <c r="O1" s="2840"/>
      <c r="P1" s="2840"/>
      <c r="Q1" s="2840"/>
      <c r="R1" s="2840"/>
      <c r="S1" s="2840"/>
      <c r="T1" s="2840"/>
      <c r="U1" s="2840"/>
      <c r="V1" s="2840"/>
      <c r="W1" s="2840"/>
      <c r="X1" s="2840"/>
    </row>
    <row r="2" spans="1:25" s="26" customFormat="1" ht="25.5" customHeight="1">
      <c r="A2" s="2830"/>
      <c r="B2" s="2831"/>
      <c r="C2" s="2831"/>
      <c r="D2" s="2831"/>
      <c r="E2" s="2831"/>
      <c r="F2" s="2831"/>
      <c r="G2" s="2831"/>
      <c r="H2" s="2831"/>
      <c r="I2" s="2831"/>
      <c r="J2" s="2831"/>
      <c r="K2" s="2831"/>
      <c r="L2" s="2831"/>
      <c r="M2" s="2831"/>
      <c r="N2" s="2831"/>
      <c r="O2" s="2831"/>
      <c r="P2" s="2831"/>
      <c r="Q2" s="2831"/>
      <c r="R2" s="2831"/>
      <c r="S2" s="2831"/>
      <c r="T2" s="2831"/>
      <c r="U2" s="2831"/>
      <c r="V2" s="2831"/>
      <c r="W2" s="2831"/>
      <c r="X2" s="2831"/>
      <c r="Y2" s="2832"/>
    </row>
    <row r="3" spans="1:25" s="25" customFormat="1" ht="24.95" customHeight="1">
      <c r="A3" s="2833" t="s">
        <v>73</v>
      </c>
      <c r="B3" s="2833"/>
      <c r="C3" s="2833" t="s">
        <v>82</v>
      </c>
      <c r="D3" s="2833"/>
      <c r="E3" s="2833"/>
      <c r="F3" s="2833"/>
      <c r="G3" s="2833"/>
      <c r="H3" s="2833"/>
      <c r="I3" s="2833"/>
      <c r="J3" s="2833"/>
      <c r="K3" s="2833"/>
      <c r="L3" s="2833"/>
      <c r="M3" s="2833"/>
      <c r="N3" s="2833"/>
      <c r="O3" s="2833"/>
      <c r="P3" s="2833"/>
      <c r="Q3" s="2833"/>
      <c r="R3" s="2833"/>
      <c r="S3" s="2834" t="s">
        <v>17</v>
      </c>
      <c r="T3" s="2834"/>
      <c r="U3" s="2834"/>
      <c r="V3" s="2835">
        <v>45473</v>
      </c>
      <c r="W3" s="2834"/>
      <c r="X3" s="40" t="s">
        <v>5</v>
      </c>
      <c r="Y3" s="41">
        <v>2024</v>
      </c>
    </row>
    <row r="4" spans="1:25" s="26" customFormat="1" ht="25.5" customHeight="1">
      <c r="A4" s="2860"/>
      <c r="B4" s="2860"/>
      <c r="C4" s="2860"/>
      <c r="D4" s="2860"/>
      <c r="E4" s="2860"/>
      <c r="F4" s="2860"/>
      <c r="G4" s="2860"/>
      <c r="H4" s="2860"/>
      <c r="I4" s="2860"/>
      <c r="J4" s="2860"/>
      <c r="K4" s="2860"/>
      <c r="L4" s="2860"/>
      <c r="M4" s="2860"/>
      <c r="N4" s="2860"/>
      <c r="O4" s="2860"/>
      <c r="P4" s="2860"/>
      <c r="Q4" s="2860"/>
      <c r="R4" s="2860"/>
      <c r="S4" s="2860"/>
      <c r="T4" s="2860"/>
      <c r="U4" s="2860"/>
      <c r="V4" s="2860"/>
      <c r="W4" s="2860"/>
      <c r="X4" s="2860"/>
      <c r="Y4" s="2860"/>
    </row>
    <row r="5" spans="1:25" ht="53.25" customHeight="1">
      <c r="A5" s="2905" t="s">
        <v>74</v>
      </c>
      <c r="B5" s="2905" t="s">
        <v>4</v>
      </c>
      <c r="C5" s="2905" t="s">
        <v>3</v>
      </c>
      <c r="D5" s="2905" t="s">
        <v>94</v>
      </c>
      <c r="E5" s="2905" t="s">
        <v>2</v>
      </c>
      <c r="F5" s="2905" t="s">
        <v>75</v>
      </c>
      <c r="G5" s="2905" t="s">
        <v>92</v>
      </c>
      <c r="H5" s="2905" t="s">
        <v>93</v>
      </c>
      <c r="I5" s="2905" t="s">
        <v>8</v>
      </c>
      <c r="J5" s="2905" t="s">
        <v>9</v>
      </c>
      <c r="K5" s="2905" t="s">
        <v>10</v>
      </c>
      <c r="L5" s="2905" t="s">
        <v>11</v>
      </c>
      <c r="M5" s="2904" t="s">
        <v>86</v>
      </c>
      <c r="N5" s="2906" t="s">
        <v>12</v>
      </c>
      <c r="O5" s="2906" t="s">
        <v>72</v>
      </c>
      <c r="P5" s="2907" t="s">
        <v>1</v>
      </c>
      <c r="Q5" s="2906" t="s">
        <v>13</v>
      </c>
      <c r="R5" s="2906" t="s">
        <v>14</v>
      </c>
      <c r="S5" s="2906" t="s">
        <v>16</v>
      </c>
      <c r="T5" s="2906" t="s">
        <v>15</v>
      </c>
      <c r="U5" s="2906" t="s">
        <v>89</v>
      </c>
      <c r="V5" s="2907" t="s">
        <v>6</v>
      </c>
      <c r="W5" s="2907" t="s">
        <v>7</v>
      </c>
      <c r="X5" s="2906" t="s">
        <v>0</v>
      </c>
      <c r="Y5" s="2904" t="s">
        <v>76</v>
      </c>
    </row>
    <row r="6" spans="1:25" ht="42.75" customHeight="1">
      <c r="A6" s="2881"/>
      <c r="B6" s="2881"/>
      <c r="C6" s="2881"/>
      <c r="D6" s="2881"/>
      <c r="E6" s="2881"/>
      <c r="F6" s="2881"/>
      <c r="G6" s="2881"/>
      <c r="H6" s="2881"/>
      <c r="I6" s="2881"/>
      <c r="J6" s="2881"/>
      <c r="K6" s="2881"/>
      <c r="L6" s="2881"/>
      <c r="M6" s="2883"/>
      <c r="N6" s="2882"/>
      <c r="O6" s="2882"/>
      <c r="P6" s="2884"/>
      <c r="Q6" s="2882"/>
      <c r="R6" s="2882"/>
      <c r="S6" s="2882"/>
      <c r="T6" s="2882"/>
      <c r="U6" s="2882"/>
      <c r="V6" s="2884"/>
      <c r="W6" s="2884"/>
      <c r="X6" s="2882"/>
      <c r="Y6" s="2883"/>
    </row>
    <row r="7" spans="1:25">
      <c r="A7" s="1297"/>
      <c r="B7" s="78">
        <v>51</v>
      </c>
      <c r="C7" s="78" t="s">
        <v>100</v>
      </c>
      <c r="D7" s="1298" t="s">
        <v>134</v>
      </c>
      <c r="E7" s="1261"/>
      <c r="F7" s="1262"/>
      <c r="G7" s="1262"/>
      <c r="H7" s="1262"/>
      <c r="I7" s="1262"/>
      <c r="J7" s="1262"/>
      <c r="K7" s="1262"/>
      <c r="L7" s="1262"/>
      <c r="M7" s="1262"/>
      <c r="N7" s="1262"/>
      <c r="O7" s="1262"/>
      <c r="P7" s="1263"/>
      <c r="Q7" s="1263"/>
      <c r="R7" s="1263"/>
      <c r="S7" s="1263"/>
      <c r="T7" s="1263"/>
      <c r="U7" s="1263"/>
      <c r="V7" s="1261"/>
      <c r="W7" s="1261"/>
      <c r="X7" s="1261"/>
      <c r="Y7" s="1262"/>
    </row>
    <row r="8" spans="1:25">
      <c r="A8" s="88"/>
      <c r="B8" s="82">
        <v>5101</v>
      </c>
      <c r="C8" s="82" t="s">
        <v>101</v>
      </c>
      <c r="D8" s="1075" t="s">
        <v>135</v>
      </c>
      <c r="E8" s="1261"/>
      <c r="F8" s="1262"/>
      <c r="G8" s="1262"/>
      <c r="H8" s="1262"/>
      <c r="I8" s="1262"/>
      <c r="J8" s="1262"/>
      <c r="K8" s="1262"/>
      <c r="L8" s="1262"/>
      <c r="M8" s="1262"/>
      <c r="N8" s="1262"/>
      <c r="O8" s="1262"/>
      <c r="P8" s="1263"/>
      <c r="Q8" s="1263"/>
      <c r="R8" s="1263"/>
      <c r="S8" s="1263"/>
      <c r="T8" s="1263"/>
      <c r="U8" s="1263"/>
      <c r="V8" s="1261"/>
      <c r="W8" s="1261"/>
      <c r="X8" s="1261"/>
      <c r="Y8" s="1262"/>
    </row>
    <row r="9" spans="1:25">
      <c r="A9" s="88"/>
      <c r="B9" s="94">
        <v>5101001</v>
      </c>
      <c r="C9" s="94" t="s">
        <v>102</v>
      </c>
      <c r="D9" s="1120" t="s">
        <v>136</v>
      </c>
      <c r="E9" s="1261"/>
      <c r="F9" s="1262"/>
      <c r="G9" s="1262"/>
      <c r="H9" s="1262"/>
      <c r="I9" s="1262"/>
      <c r="J9" s="1262"/>
      <c r="K9" s="1262"/>
      <c r="L9" s="1262"/>
      <c r="M9" s="1262"/>
      <c r="N9" s="1262"/>
      <c r="O9" s="1262"/>
      <c r="P9" s="1263"/>
      <c r="Q9" s="1263"/>
      <c r="R9" s="1263"/>
      <c r="S9" s="1263"/>
      <c r="T9" s="1263"/>
      <c r="U9" s="1263"/>
      <c r="V9" s="1261"/>
      <c r="W9" s="1261"/>
      <c r="X9" s="1261"/>
      <c r="Y9" s="1262"/>
    </row>
    <row r="10" spans="1:25">
      <c r="A10" s="227"/>
      <c r="B10" s="70">
        <v>51010010003</v>
      </c>
      <c r="C10" s="70" t="s">
        <v>103</v>
      </c>
      <c r="D10" s="101" t="s">
        <v>985</v>
      </c>
      <c r="E10" s="1299"/>
      <c r="F10" s="72">
        <v>18</v>
      </c>
      <c r="G10" s="1300"/>
      <c r="H10" s="678"/>
      <c r="I10" s="1300"/>
      <c r="J10" s="1300"/>
      <c r="K10" s="1300"/>
      <c r="L10" s="1300"/>
      <c r="M10" s="1300"/>
      <c r="N10" s="1300"/>
      <c r="O10" s="1300"/>
      <c r="P10" s="1301"/>
      <c r="Q10" s="1301"/>
      <c r="R10" s="1301"/>
      <c r="S10" s="1301"/>
      <c r="T10" s="1301"/>
      <c r="U10" s="1301"/>
      <c r="V10" s="1299"/>
      <c r="W10" s="1299"/>
      <c r="X10" s="1299"/>
      <c r="Y10" s="1262"/>
    </row>
    <row r="11" spans="1:25" ht="16.5" customHeight="1">
      <c r="A11" s="2849">
        <v>4134</v>
      </c>
      <c r="B11" s="2997"/>
      <c r="C11" s="2849" t="s">
        <v>109</v>
      </c>
      <c r="D11" s="2921" t="s">
        <v>986</v>
      </c>
      <c r="E11" s="72" t="s">
        <v>987</v>
      </c>
      <c r="F11" s="1300"/>
      <c r="G11" s="1302"/>
      <c r="H11" s="1303">
        <f>+H12</f>
        <v>0</v>
      </c>
      <c r="I11" s="1304"/>
      <c r="J11" s="1304"/>
      <c r="K11" s="1264">
        <f t="shared" ref="K11:N11" si="0">+K12</f>
        <v>18</v>
      </c>
      <c r="L11" s="660">
        <f t="shared" si="0"/>
        <v>1</v>
      </c>
      <c r="M11" s="1264">
        <f t="shared" si="0"/>
        <v>0</v>
      </c>
      <c r="N11" s="660">
        <f t="shared" si="0"/>
        <v>0.4</v>
      </c>
      <c r="O11" s="2992">
        <f>+N12</f>
        <v>0.4</v>
      </c>
      <c r="P11" s="133">
        <f t="shared" ref="P11:Q11" si="1">+P12</f>
        <v>28850625</v>
      </c>
      <c r="Q11" s="133">
        <f t="shared" si="1"/>
        <v>69682625</v>
      </c>
      <c r="R11" s="133">
        <f t="shared" ref="R11:S11" si="2">R12</f>
        <v>66386000</v>
      </c>
      <c r="S11" s="133">
        <f t="shared" si="2"/>
        <v>41848000</v>
      </c>
      <c r="T11" s="660">
        <f t="shared" ref="T11:U12" si="3">IF(Q11=0,0,R11/Q11)</f>
        <v>0.9526908608853355</v>
      </c>
      <c r="U11" s="660">
        <f t="shared" si="3"/>
        <v>0.63037387400958034</v>
      </c>
      <c r="V11" s="1299"/>
      <c r="W11" s="1299"/>
      <c r="X11" s="1299"/>
      <c r="Y11" s="1262"/>
    </row>
    <row r="12" spans="1:25" ht="135">
      <c r="A12" s="2987"/>
      <c r="B12" s="2982"/>
      <c r="C12" s="2987"/>
      <c r="D12" s="2987"/>
      <c r="E12" s="1094" t="s">
        <v>988</v>
      </c>
      <c r="F12" s="1305"/>
      <c r="G12" s="1306" t="s">
        <v>985</v>
      </c>
      <c r="H12" s="1307">
        <v>0</v>
      </c>
      <c r="I12" s="180" t="s">
        <v>989</v>
      </c>
      <c r="J12" s="180" t="s">
        <v>990</v>
      </c>
      <c r="K12" s="1308">
        <v>18</v>
      </c>
      <c r="L12" s="1309">
        <v>1</v>
      </c>
      <c r="M12" s="1310">
        <v>0</v>
      </c>
      <c r="N12" s="1309">
        <v>0.4</v>
      </c>
      <c r="O12" s="2982"/>
      <c r="P12" s="1100">
        <v>28850625</v>
      </c>
      <c r="Q12" s="1100">
        <v>69682625</v>
      </c>
      <c r="R12" s="1100">
        <v>66386000</v>
      </c>
      <c r="S12" s="1100">
        <v>41848000</v>
      </c>
      <c r="T12" s="1309">
        <f t="shared" si="3"/>
        <v>0.9526908608853355</v>
      </c>
      <c r="U12" s="1309">
        <f t="shared" si="3"/>
        <v>0.63037387400958034</v>
      </c>
      <c r="V12" s="1311">
        <v>45338</v>
      </c>
      <c r="W12" s="1312">
        <v>45657</v>
      </c>
      <c r="X12" s="1313" t="s">
        <v>4890</v>
      </c>
      <c r="Y12" s="2994" t="s">
        <v>991</v>
      </c>
    </row>
    <row r="13" spans="1:25" ht="16.5" customHeight="1">
      <c r="A13" s="88"/>
      <c r="B13" s="70">
        <v>51010010009</v>
      </c>
      <c r="C13" s="70" t="s">
        <v>103</v>
      </c>
      <c r="D13" s="101" t="s">
        <v>992</v>
      </c>
      <c r="E13" s="1266"/>
      <c r="F13" s="70">
        <v>57</v>
      </c>
      <c r="G13" s="1267"/>
      <c r="H13" s="1314">
        <f>+H15</f>
        <v>52</v>
      </c>
      <c r="I13" s="1315"/>
      <c r="J13" s="1315"/>
      <c r="K13" s="1264"/>
      <c r="L13" s="1264"/>
      <c r="M13" s="1268"/>
      <c r="N13" s="1268"/>
      <c r="O13" s="1268"/>
      <c r="P13" s="1268"/>
      <c r="Q13" s="1268"/>
      <c r="R13" s="1268"/>
      <c r="S13" s="1268"/>
      <c r="T13" s="1268"/>
      <c r="U13" s="1268"/>
      <c r="V13" s="225"/>
      <c r="W13" s="275"/>
      <c r="X13" s="275"/>
      <c r="Y13" s="2982"/>
    </row>
    <row r="14" spans="1:25" ht="16.5" customHeight="1">
      <c r="A14" s="2849">
        <v>4134</v>
      </c>
      <c r="B14" s="2995"/>
      <c r="C14" s="2849" t="s">
        <v>109</v>
      </c>
      <c r="D14" s="2996" t="s">
        <v>993</v>
      </c>
      <c r="E14" s="72" t="s">
        <v>994</v>
      </c>
      <c r="F14" s="1269"/>
      <c r="G14" s="934"/>
      <c r="H14" s="933"/>
      <c r="I14" s="1316"/>
      <c r="J14" s="1270"/>
      <c r="K14" s="1264">
        <f t="shared" ref="K14:M14" si="4">+K15</f>
        <v>57</v>
      </c>
      <c r="L14" s="660">
        <f t="shared" si="4"/>
        <v>1</v>
      </c>
      <c r="M14" s="661">
        <f t="shared" si="4"/>
        <v>52</v>
      </c>
      <c r="N14" s="660">
        <v>0.24</v>
      </c>
      <c r="O14" s="2992">
        <f>N14</f>
        <v>0.24</v>
      </c>
      <c r="P14" s="133">
        <v>73231425</v>
      </c>
      <c r="Q14" s="133">
        <f t="shared" ref="Q14:S14" si="5">Q15</f>
        <v>83696000</v>
      </c>
      <c r="R14" s="133">
        <f t="shared" si="5"/>
        <v>83696000</v>
      </c>
      <c r="S14" s="133">
        <f t="shared" si="5"/>
        <v>57541000</v>
      </c>
      <c r="T14" s="660">
        <f t="shared" ref="T14:U15" si="6">IF(Q14=0,0,R14/Q14)</f>
        <v>1</v>
      </c>
      <c r="U14" s="660">
        <f t="shared" si="6"/>
        <v>0.6875</v>
      </c>
      <c r="V14" s="1317"/>
      <c r="W14" s="1318"/>
      <c r="X14" s="1317"/>
      <c r="Y14" s="2981" t="s">
        <v>995</v>
      </c>
    </row>
    <row r="15" spans="1:25" ht="216">
      <c r="A15" s="2987"/>
      <c r="B15" s="2987"/>
      <c r="C15" s="2987"/>
      <c r="D15" s="2990"/>
      <c r="E15" s="72" t="s">
        <v>996</v>
      </c>
      <c r="F15" s="1319"/>
      <c r="G15" s="1320" t="s">
        <v>997</v>
      </c>
      <c r="H15" s="678">
        <f>M15</f>
        <v>52</v>
      </c>
      <c r="I15" s="1321" t="s">
        <v>998</v>
      </c>
      <c r="J15" s="1322" t="s">
        <v>999</v>
      </c>
      <c r="K15" s="1323">
        <v>57</v>
      </c>
      <c r="L15" s="660">
        <v>1</v>
      </c>
      <c r="M15" s="661">
        <v>52</v>
      </c>
      <c r="N15" s="660">
        <v>0.24</v>
      </c>
      <c r="O15" s="2982"/>
      <c r="P15" s="133">
        <v>73231425</v>
      </c>
      <c r="Q15" s="133">
        <v>83696000</v>
      </c>
      <c r="R15" s="133">
        <v>83696000</v>
      </c>
      <c r="S15" s="133">
        <v>57541000</v>
      </c>
      <c r="T15" s="660">
        <f t="shared" si="6"/>
        <v>1</v>
      </c>
      <c r="U15" s="660">
        <f t="shared" si="6"/>
        <v>0.6875</v>
      </c>
      <c r="V15" s="1317">
        <v>45309</v>
      </c>
      <c r="W15" s="1324">
        <v>45657</v>
      </c>
      <c r="X15" s="1325" t="s">
        <v>4891</v>
      </c>
      <c r="Y15" s="2987"/>
    </row>
    <row r="16" spans="1:25" ht="25.5" customHeight="1">
      <c r="A16" s="2849">
        <v>4134</v>
      </c>
      <c r="B16" s="70">
        <v>51010010019</v>
      </c>
      <c r="C16" s="70" t="s">
        <v>103</v>
      </c>
      <c r="D16" s="101" t="s">
        <v>1000</v>
      </c>
      <c r="E16" s="1272"/>
      <c r="F16" s="667">
        <v>3000</v>
      </c>
      <c r="G16" s="1273"/>
      <c r="H16" s="1326"/>
      <c r="I16" s="1273"/>
      <c r="J16" s="1273"/>
      <c r="K16" s="1274"/>
      <c r="L16" s="1274"/>
      <c r="M16" s="661"/>
      <c r="N16" s="1274"/>
      <c r="O16" s="1274"/>
      <c r="P16" s="1327"/>
      <c r="Q16" s="1327"/>
      <c r="R16" s="1327"/>
      <c r="S16" s="1327"/>
      <c r="T16" s="133"/>
      <c r="U16" s="133"/>
      <c r="V16" s="1328"/>
      <c r="W16" s="1329"/>
      <c r="X16" s="1329"/>
      <c r="Y16" s="1275"/>
    </row>
    <row r="17" spans="1:25" ht="16.5" customHeight="1">
      <c r="A17" s="2987"/>
      <c r="B17" s="2849"/>
      <c r="C17" s="2849" t="s">
        <v>109</v>
      </c>
      <c r="D17" s="2921" t="s">
        <v>1001</v>
      </c>
      <c r="E17" s="72" t="s">
        <v>1002</v>
      </c>
      <c r="F17" s="667"/>
      <c r="G17" s="934"/>
      <c r="H17" s="1276">
        <f>+H18</f>
        <v>913</v>
      </c>
      <c r="I17" s="1330"/>
      <c r="J17" s="1330"/>
      <c r="K17" s="133">
        <f t="shared" ref="K17:L17" si="7">K18</f>
        <v>3000</v>
      </c>
      <c r="L17" s="660">
        <f t="shared" si="7"/>
        <v>1</v>
      </c>
      <c r="M17" s="661">
        <f>+M18</f>
        <v>913</v>
      </c>
      <c r="N17" s="660">
        <v>0.4</v>
      </c>
      <c r="O17" s="2992">
        <f>IF(Q17&gt;0,N17,"na")</f>
        <v>0.4</v>
      </c>
      <c r="P17" s="133">
        <f t="shared" ref="P17:S17" si="8">P18</f>
        <v>369624375</v>
      </c>
      <c r="Q17" s="133">
        <f t="shared" si="8"/>
        <v>736580375</v>
      </c>
      <c r="R17" s="133">
        <f t="shared" si="8"/>
        <v>731828000</v>
      </c>
      <c r="S17" s="133">
        <f t="shared" si="8"/>
        <v>542361000</v>
      </c>
      <c r="T17" s="660">
        <f t="shared" ref="T17:U18" si="9">IF(Q17=0,0,R17/Q17)</f>
        <v>0.9935480564493725</v>
      </c>
      <c r="U17" s="660">
        <f t="shared" si="9"/>
        <v>0.74110446716988143</v>
      </c>
      <c r="V17" s="1318"/>
      <c r="W17" s="1318"/>
      <c r="X17" s="1317"/>
      <c r="Y17" s="2981" t="s">
        <v>991</v>
      </c>
    </row>
    <row r="18" spans="1:25" ht="162" customHeight="1">
      <c r="A18" s="2982"/>
      <c r="B18" s="2982"/>
      <c r="C18" s="2982"/>
      <c r="D18" s="2982"/>
      <c r="E18" s="72" t="s">
        <v>1003</v>
      </c>
      <c r="F18" s="1319"/>
      <c r="G18" s="1331" t="s">
        <v>1004</v>
      </c>
      <c r="H18" s="90">
        <v>913</v>
      </c>
      <c r="I18" s="92" t="s">
        <v>1005</v>
      </c>
      <c r="J18" s="92" t="s">
        <v>1006</v>
      </c>
      <c r="K18" s="1332">
        <v>3000</v>
      </c>
      <c r="L18" s="660">
        <v>1</v>
      </c>
      <c r="M18" s="661">
        <v>913</v>
      </c>
      <c r="N18" s="660">
        <v>0.4</v>
      </c>
      <c r="O18" s="2982"/>
      <c r="P18" s="97">
        <v>369624375</v>
      </c>
      <c r="Q18" s="97">
        <v>736580375</v>
      </c>
      <c r="R18" s="97">
        <v>731828000</v>
      </c>
      <c r="S18" s="97">
        <v>542361000</v>
      </c>
      <c r="T18" s="660">
        <f t="shared" si="9"/>
        <v>0.9935480564493725</v>
      </c>
      <c r="U18" s="660">
        <f t="shared" si="9"/>
        <v>0.74110446716988143</v>
      </c>
      <c r="V18" s="1333">
        <v>45309</v>
      </c>
      <c r="W18" s="1318">
        <v>45657</v>
      </c>
      <c r="X18" s="1325" t="s">
        <v>4892</v>
      </c>
      <c r="Y18" s="2987"/>
    </row>
    <row r="19" spans="1:25" ht="16.5" customHeight="1">
      <c r="A19" s="2849">
        <v>4134</v>
      </c>
      <c r="B19" s="70">
        <v>51010010020</v>
      </c>
      <c r="C19" s="70" t="s">
        <v>103</v>
      </c>
      <c r="D19" s="101" t="s">
        <v>1007</v>
      </c>
      <c r="E19" s="1277"/>
      <c r="F19" s="667">
        <v>32</v>
      </c>
      <c r="G19" s="1334"/>
      <c r="H19" s="1335"/>
      <c r="I19" s="1336"/>
      <c r="J19" s="1273"/>
      <c r="K19" s="1337"/>
      <c r="L19" s="1274"/>
      <c r="M19" s="1274"/>
      <c r="N19" s="1274"/>
      <c r="O19" s="99"/>
      <c r="P19" s="1327"/>
      <c r="Q19" s="1327"/>
      <c r="R19" s="1327"/>
      <c r="S19" s="1327"/>
      <c r="T19" s="133"/>
      <c r="U19" s="133"/>
      <c r="V19" s="1328"/>
      <c r="W19" s="1329"/>
      <c r="X19" s="1329"/>
      <c r="Y19" s="1275"/>
    </row>
    <row r="20" spans="1:25" ht="16.5" customHeight="1">
      <c r="A20" s="2987"/>
      <c r="B20" s="2849"/>
      <c r="C20" s="2849" t="s">
        <v>109</v>
      </c>
      <c r="D20" s="2921" t="s">
        <v>1008</v>
      </c>
      <c r="E20" s="72" t="s">
        <v>1009</v>
      </c>
      <c r="F20" s="70"/>
      <c r="G20" s="1338"/>
      <c r="H20" s="1303">
        <f>H21+H22</f>
        <v>31</v>
      </c>
      <c r="I20" s="1339"/>
      <c r="J20" s="1275"/>
      <c r="K20" s="1340">
        <f>K22</f>
        <v>1</v>
      </c>
      <c r="L20" s="660">
        <f>L22+L21</f>
        <v>1</v>
      </c>
      <c r="M20" s="661">
        <v>0</v>
      </c>
      <c r="N20" s="660">
        <f>+N21+N22</f>
        <v>0.124</v>
      </c>
      <c r="O20" s="2983">
        <f>+N21+N22</f>
        <v>0.124</v>
      </c>
      <c r="P20" s="133">
        <f t="shared" ref="P20:S20" si="10">P22+P21</f>
        <v>1461881740</v>
      </c>
      <c r="Q20" s="133">
        <f t="shared" si="10"/>
        <v>1893649740</v>
      </c>
      <c r="R20" s="133">
        <f t="shared" si="10"/>
        <v>1296207306</v>
      </c>
      <c r="S20" s="133">
        <f t="shared" si="10"/>
        <v>587509829</v>
      </c>
      <c r="T20" s="660">
        <f t="shared" ref="T20:U22" si="11">IF(Q20=0,0,R20/Q20)</f>
        <v>0.68450214346397553</v>
      </c>
      <c r="U20" s="660">
        <f t="shared" si="11"/>
        <v>0.45325298374764755</v>
      </c>
      <c r="V20" s="1318"/>
      <c r="W20" s="1318"/>
      <c r="X20" s="1317"/>
      <c r="Y20" s="2981" t="s">
        <v>991</v>
      </c>
    </row>
    <row r="21" spans="1:25" ht="54">
      <c r="A21" s="2987"/>
      <c r="B21" s="2987"/>
      <c r="C21" s="2987"/>
      <c r="D21" s="2987"/>
      <c r="E21" s="933" t="s">
        <v>1010</v>
      </c>
      <c r="F21" s="1341"/>
      <c r="G21" s="934"/>
      <c r="H21" s="933"/>
      <c r="I21" s="934" t="s">
        <v>1011</v>
      </c>
      <c r="J21" s="92" t="s">
        <v>1012</v>
      </c>
      <c r="K21" s="1323">
        <v>32</v>
      </c>
      <c r="L21" s="1342">
        <v>0.8</v>
      </c>
      <c r="M21" s="661">
        <v>0</v>
      </c>
      <c r="N21" s="134">
        <v>1.4E-2</v>
      </c>
      <c r="O21" s="2987"/>
      <c r="P21" s="133">
        <v>841864990</v>
      </c>
      <c r="Q21" s="133">
        <f>+P21</f>
        <v>841864990</v>
      </c>
      <c r="R21" s="133">
        <v>269804351</v>
      </c>
      <c r="S21" s="133">
        <v>0</v>
      </c>
      <c r="T21" s="660">
        <f t="shared" si="11"/>
        <v>0.3204841087405238</v>
      </c>
      <c r="U21" s="660">
        <f t="shared" si="11"/>
        <v>0</v>
      </c>
      <c r="V21" s="1318">
        <v>45398</v>
      </c>
      <c r="W21" s="1318">
        <v>45657</v>
      </c>
      <c r="X21" s="110" t="s">
        <v>4893</v>
      </c>
      <c r="Y21" s="2987"/>
    </row>
    <row r="22" spans="1:25" ht="81" customHeight="1">
      <c r="A22" s="2982"/>
      <c r="B22" s="2982"/>
      <c r="C22" s="2982"/>
      <c r="D22" s="2982"/>
      <c r="E22"/>
      <c r="F22" s="933" t="s">
        <v>1013</v>
      </c>
      <c r="G22" s="934" t="s">
        <v>1007</v>
      </c>
      <c r="H22" s="678">
        <v>31</v>
      </c>
      <c r="I22" s="92" t="s">
        <v>1014</v>
      </c>
      <c r="J22" s="92" t="s">
        <v>1015</v>
      </c>
      <c r="K22" s="1343">
        <v>1</v>
      </c>
      <c r="L22" s="660">
        <v>0.2</v>
      </c>
      <c r="M22" s="1344">
        <v>0</v>
      </c>
      <c r="N22" s="75">
        <v>0.11</v>
      </c>
      <c r="O22" s="2982"/>
      <c r="P22" s="1345">
        <v>620016750</v>
      </c>
      <c r="Q22" s="97">
        <v>1051784750</v>
      </c>
      <c r="R22" s="97">
        <v>1026402955</v>
      </c>
      <c r="S22" s="97">
        <v>587509829</v>
      </c>
      <c r="T22" s="660">
        <f t="shared" si="11"/>
        <v>0.97586788076172426</v>
      </c>
      <c r="U22" s="660">
        <f t="shared" si="11"/>
        <v>0.5723968604513614</v>
      </c>
      <c r="V22" s="1318">
        <v>45309</v>
      </c>
      <c r="W22" s="1318">
        <v>45657</v>
      </c>
      <c r="X22" s="1278" t="s">
        <v>4894</v>
      </c>
      <c r="Y22" s="2982"/>
    </row>
    <row r="23" spans="1:25" ht="25.5">
      <c r="A23" s="2849">
        <v>4134</v>
      </c>
      <c r="B23" s="70">
        <v>51010010022</v>
      </c>
      <c r="C23" s="70" t="s">
        <v>103</v>
      </c>
      <c r="D23" s="101" t="s">
        <v>1016</v>
      </c>
      <c r="E23" s="1277"/>
      <c r="F23" s="70">
        <v>2</v>
      </c>
      <c r="G23" s="1262"/>
      <c r="H23" s="1335"/>
      <c r="I23" s="1273"/>
      <c r="J23" s="1273"/>
      <c r="K23" s="1274"/>
      <c r="L23" s="1274"/>
      <c r="M23" s="1274"/>
      <c r="N23" s="1346"/>
      <c r="O23" s="99"/>
      <c r="P23" s="1327"/>
      <c r="Q23" s="1327"/>
      <c r="R23" s="1327"/>
      <c r="S23" s="1327"/>
      <c r="T23" s="133"/>
      <c r="U23" s="133"/>
      <c r="V23" s="1328"/>
      <c r="W23" s="1329"/>
      <c r="X23" s="1329"/>
      <c r="Y23" s="1275"/>
    </row>
    <row r="24" spans="1:25" ht="16.5" customHeight="1">
      <c r="A24" s="2987"/>
      <c r="B24" s="2849"/>
      <c r="C24" s="2849" t="s">
        <v>109</v>
      </c>
      <c r="D24" s="2921" t="s">
        <v>1017</v>
      </c>
      <c r="E24" s="72" t="s">
        <v>1018</v>
      </c>
      <c r="F24" s="70"/>
      <c r="G24" s="1347"/>
      <c r="H24" s="933">
        <f>+H25</f>
        <v>0</v>
      </c>
      <c r="I24" s="92"/>
      <c r="J24" s="1275"/>
      <c r="K24" s="1264">
        <f t="shared" ref="K24:M24" si="12">+K25</f>
        <v>2</v>
      </c>
      <c r="L24" s="660">
        <f t="shared" si="12"/>
        <v>1</v>
      </c>
      <c r="M24" s="133">
        <f t="shared" si="12"/>
        <v>0</v>
      </c>
      <c r="N24" s="1279">
        <v>0.12</v>
      </c>
      <c r="O24" s="2992">
        <f>IF(Q24&gt;0,N24,"na")</f>
        <v>0.12</v>
      </c>
      <c r="P24" s="133">
        <v>70535250</v>
      </c>
      <c r="Q24" s="133">
        <f t="shared" ref="Q24:S24" si="13">Q25</f>
        <v>169479130</v>
      </c>
      <c r="R24" s="133">
        <f t="shared" si="13"/>
        <v>165042000</v>
      </c>
      <c r="S24" s="133">
        <f t="shared" si="13"/>
        <v>110102000</v>
      </c>
      <c r="T24" s="660">
        <f t="shared" ref="T24:U25" si="14">IF(Q24=0,0,R24/Q24)</f>
        <v>0.97381901830626583</v>
      </c>
      <c r="U24" s="660">
        <f t="shared" si="14"/>
        <v>0.66711503738442335</v>
      </c>
      <c r="V24" s="1318"/>
      <c r="W24" s="1318"/>
      <c r="X24" s="1317"/>
      <c r="Y24" s="2981" t="s">
        <v>991</v>
      </c>
    </row>
    <row r="25" spans="1:25" ht="121.5" customHeight="1">
      <c r="A25" s="2982"/>
      <c r="B25" s="2982"/>
      <c r="C25" s="2982"/>
      <c r="D25" s="2982"/>
      <c r="E25" s="72" t="s">
        <v>1019</v>
      </c>
      <c r="F25" s="1348"/>
      <c r="G25" s="934" t="s">
        <v>1016</v>
      </c>
      <c r="H25" s="1349">
        <v>0</v>
      </c>
      <c r="I25" s="92" t="s">
        <v>1020</v>
      </c>
      <c r="J25" s="1350" t="s">
        <v>1021</v>
      </c>
      <c r="K25" s="1264">
        <v>2</v>
      </c>
      <c r="L25" s="660">
        <v>1</v>
      </c>
      <c r="M25" s="661">
        <v>0</v>
      </c>
      <c r="N25" s="660">
        <v>0.12</v>
      </c>
      <c r="O25" s="2982"/>
      <c r="P25" s="133">
        <v>70535250</v>
      </c>
      <c r="Q25" s="97">
        <v>169479130</v>
      </c>
      <c r="R25" s="97">
        <v>165042000</v>
      </c>
      <c r="S25" s="97">
        <v>110102000</v>
      </c>
      <c r="T25" s="660">
        <f t="shared" si="14"/>
        <v>0.97381901830626583</v>
      </c>
      <c r="U25" s="660">
        <f t="shared" si="14"/>
        <v>0.66711503738442335</v>
      </c>
      <c r="V25" s="1318">
        <v>45338</v>
      </c>
      <c r="W25" s="1318">
        <v>45657</v>
      </c>
      <c r="X25" s="1351" t="s">
        <v>4895</v>
      </c>
      <c r="Y25" s="2987"/>
    </row>
    <row r="26" spans="1:25" ht="25.5">
      <c r="A26" s="73"/>
      <c r="B26" s="70">
        <v>51010010023</v>
      </c>
      <c r="C26" s="1277" t="s">
        <v>103</v>
      </c>
      <c r="D26" s="101" t="s">
        <v>1022</v>
      </c>
      <c r="E26" s="72"/>
      <c r="F26" s="98">
        <v>1</v>
      </c>
      <c r="G26" s="92"/>
      <c r="H26" s="1352"/>
      <c r="I26" s="92"/>
      <c r="J26" s="92"/>
      <c r="K26" s="1264"/>
      <c r="L26" s="660"/>
      <c r="M26" s="660"/>
      <c r="N26" s="660"/>
      <c r="O26" s="660"/>
      <c r="P26" s="133"/>
      <c r="Q26" s="133"/>
      <c r="R26" s="133"/>
      <c r="S26" s="133"/>
      <c r="T26" s="133"/>
      <c r="U26" s="133"/>
      <c r="V26" s="134"/>
      <c r="W26" s="938"/>
      <c r="X26" s="938"/>
      <c r="Y26" s="74"/>
    </row>
    <row r="27" spans="1:25" ht="16.5" customHeight="1">
      <c r="A27" s="2849">
        <v>4134</v>
      </c>
      <c r="B27" s="2993"/>
      <c r="C27" s="2849" t="s">
        <v>109</v>
      </c>
      <c r="D27" s="2921" t="s">
        <v>1023</v>
      </c>
      <c r="E27" s="72" t="s">
        <v>1024</v>
      </c>
      <c r="F27" s="70"/>
      <c r="G27" s="934"/>
      <c r="H27" s="1265">
        <f>+H28</f>
        <v>1</v>
      </c>
      <c r="I27" s="934"/>
      <c r="J27" s="92"/>
      <c r="K27" s="133">
        <f t="shared" ref="K27:M27" si="15">K28</f>
        <v>1951</v>
      </c>
      <c r="L27" s="660">
        <f t="shared" si="15"/>
        <v>1</v>
      </c>
      <c r="M27" s="133">
        <f t="shared" si="15"/>
        <v>1951</v>
      </c>
      <c r="N27" s="660">
        <f>+N28</f>
        <v>0.4</v>
      </c>
      <c r="O27" s="2992">
        <f>IF(Q27&gt;0,N27,"na")</f>
        <v>0.4</v>
      </c>
      <c r="P27" s="133">
        <v>84807900</v>
      </c>
      <c r="Q27" s="133">
        <f t="shared" ref="Q27:S27" si="16">Q28</f>
        <v>175356000</v>
      </c>
      <c r="R27" s="133">
        <f t="shared" si="16"/>
        <v>163536000</v>
      </c>
      <c r="S27" s="133">
        <f t="shared" si="16"/>
        <v>118408000</v>
      </c>
      <c r="T27" s="660">
        <f t="shared" ref="T27:U28" si="17">IF(Q27=0,0,R27/Q27)</f>
        <v>0.93259426538014101</v>
      </c>
      <c r="U27" s="660">
        <f t="shared" si="17"/>
        <v>0.72404852754133642</v>
      </c>
      <c r="V27" s="1318"/>
      <c r="W27" s="1318"/>
      <c r="X27" s="1317"/>
      <c r="Y27" s="2981" t="s">
        <v>995</v>
      </c>
    </row>
    <row r="28" spans="1:25" ht="94.5" customHeight="1">
      <c r="A28" s="2987"/>
      <c r="B28" s="2987"/>
      <c r="C28" s="2987"/>
      <c r="D28" s="2987"/>
      <c r="E28" s="72" t="s">
        <v>1025</v>
      </c>
      <c r="F28" s="1353"/>
      <c r="G28" s="92" t="s">
        <v>1022</v>
      </c>
      <c r="H28" s="99">
        <v>1</v>
      </c>
      <c r="I28" s="92" t="s">
        <v>1026</v>
      </c>
      <c r="J28" s="1350" t="s">
        <v>1027</v>
      </c>
      <c r="K28" s="133">
        <v>1951</v>
      </c>
      <c r="L28" s="660">
        <v>1</v>
      </c>
      <c r="M28" s="661">
        <v>1951</v>
      </c>
      <c r="N28" s="660">
        <v>0.4</v>
      </c>
      <c r="O28" s="2982"/>
      <c r="P28" s="133">
        <v>84807900</v>
      </c>
      <c r="Q28" s="133">
        <v>175356000</v>
      </c>
      <c r="R28" s="133">
        <v>163536000</v>
      </c>
      <c r="S28" s="133">
        <v>118408000</v>
      </c>
      <c r="T28" s="660">
        <f t="shared" si="17"/>
        <v>0.93259426538014101</v>
      </c>
      <c r="U28" s="660">
        <f t="shared" si="17"/>
        <v>0.72404852754133642</v>
      </c>
      <c r="V28" s="1318">
        <v>45309</v>
      </c>
      <c r="W28" s="1318">
        <v>45657</v>
      </c>
      <c r="X28" s="1351" t="s">
        <v>4896</v>
      </c>
      <c r="Y28" s="2987"/>
    </row>
    <row r="29" spans="1:25">
      <c r="A29" s="2849">
        <v>4134</v>
      </c>
      <c r="B29" s="70">
        <v>51010010050</v>
      </c>
      <c r="C29" s="70" t="s">
        <v>103</v>
      </c>
      <c r="D29" s="101" t="s">
        <v>1028</v>
      </c>
      <c r="E29" s="70"/>
      <c r="F29" s="1341">
        <v>2</v>
      </c>
      <c r="G29" s="1280"/>
      <c r="H29" s="1335">
        <v>0</v>
      </c>
      <c r="I29" s="1354"/>
      <c r="J29" s="1281"/>
      <c r="K29" s="1355"/>
      <c r="L29" s="1268"/>
      <c r="M29" s="661"/>
      <c r="N29" s="1268"/>
      <c r="O29" s="99"/>
      <c r="P29" s="1356"/>
      <c r="Q29" s="1356"/>
      <c r="R29" s="1356"/>
      <c r="S29" s="1356"/>
      <c r="T29" s="133"/>
      <c r="U29" s="133"/>
      <c r="V29" s="225"/>
      <c r="W29" s="275"/>
      <c r="X29" s="275"/>
      <c r="Y29" s="74"/>
    </row>
    <row r="30" spans="1:25" ht="16.5" customHeight="1">
      <c r="A30" s="2987"/>
      <c r="B30" s="2849"/>
      <c r="C30" s="2849" t="s">
        <v>109</v>
      </c>
      <c r="D30" s="2921" t="s">
        <v>1029</v>
      </c>
      <c r="E30" s="72" t="s">
        <v>1030</v>
      </c>
      <c r="F30" s="1341"/>
      <c r="G30" s="88"/>
      <c r="H30" s="90">
        <v>0</v>
      </c>
      <c r="I30" s="1357"/>
      <c r="J30" s="92"/>
      <c r="K30" s="661">
        <f t="shared" ref="K30:L30" si="18">K31</f>
        <v>2</v>
      </c>
      <c r="L30" s="660">
        <f t="shared" si="18"/>
        <v>1</v>
      </c>
      <c r="M30" s="661">
        <f>+M31</f>
        <v>0</v>
      </c>
      <c r="N30" s="660">
        <v>0.26200000000000001</v>
      </c>
      <c r="O30" s="2992">
        <f>IF(Q30&gt;0,N30,"na")</f>
        <v>0.26200000000000001</v>
      </c>
      <c r="P30" s="133">
        <f t="shared" ref="P30:S30" si="19">P31</f>
        <v>45172575</v>
      </c>
      <c r="Q30" s="133">
        <f t="shared" si="19"/>
        <v>113308575</v>
      </c>
      <c r="R30" s="133">
        <f t="shared" si="19"/>
        <v>108176000</v>
      </c>
      <c r="S30" s="133">
        <f t="shared" si="19"/>
        <v>67694000</v>
      </c>
      <c r="T30" s="660">
        <f t="shared" ref="T30:U31" si="20">IF(Q30=0,0,R30/Q30)</f>
        <v>0.95470267806297981</v>
      </c>
      <c r="U30" s="660">
        <f t="shared" si="20"/>
        <v>0.62577651235024401</v>
      </c>
      <c r="V30" s="1318"/>
      <c r="W30" s="1318"/>
      <c r="X30" s="1318"/>
      <c r="Y30" s="2981" t="s">
        <v>991</v>
      </c>
    </row>
    <row r="31" spans="1:25" ht="94.5" customHeight="1">
      <c r="A31" s="2982"/>
      <c r="B31" s="2982"/>
      <c r="C31" s="2982"/>
      <c r="D31" s="2982"/>
      <c r="E31" s="72" t="s">
        <v>1031</v>
      </c>
      <c r="F31" s="1348"/>
      <c r="G31" s="92" t="s">
        <v>1028</v>
      </c>
      <c r="H31" s="72">
        <v>0</v>
      </c>
      <c r="I31" s="92" t="s">
        <v>1032</v>
      </c>
      <c r="J31" s="1350" t="s">
        <v>1033</v>
      </c>
      <c r="K31" s="661">
        <v>2</v>
      </c>
      <c r="L31" s="660">
        <v>1</v>
      </c>
      <c r="M31" s="661">
        <v>0</v>
      </c>
      <c r="N31" s="134">
        <v>0.26200000000000001</v>
      </c>
      <c r="O31" s="2982"/>
      <c r="P31" s="97">
        <v>45172575</v>
      </c>
      <c r="Q31" s="97">
        <v>113308575</v>
      </c>
      <c r="R31" s="97">
        <v>108176000</v>
      </c>
      <c r="S31" s="97">
        <v>67694000</v>
      </c>
      <c r="T31" s="660">
        <f t="shared" si="20"/>
        <v>0.95470267806297981</v>
      </c>
      <c r="U31" s="660">
        <f t="shared" si="20"/>
        <v>0.62577651235024401</v>
      </c>
      <c r="V31" s="1318">
        <v>45311</v>
      </c>
      <c r="W31" s="1318">
        <v>45657</v>
      </c>
      <c r="X31" s="1325" t="s">
        <v>4897</v>
      </c>
      <c r="Y31" s="2987"/>
    </row>
    <row r="32" spans="1:25">
      <c r="A32" s="81"/>
      <c r="B32" s="82">
        <v>54</v>
      </c>
      <c r="C32" s="82" t="s">
        <v>100</v>
      </c>
      <c r="D32" s="1358" t="s">
        <v>108</v>
      </c>
      <c r="E32" s="82"/>
      <c r="F32" s="1341"/>
      <c r="G32" s="1280"/>
      <c r="H32" s="1359"/>
      <c r="I32" s="1360"/>
      <c r="J32" s="1361"/>
      <c r="K32" s="1362"/>
      <c r="L32" s="1362"/>
      <c r="M32" s="661"/>
      <c r="N32" s="1362"/>
      <c r="O32" s="99"/>
      <c r="P32" s="1363"/>
      <c r="Q32" s="1363"/>
      <c r="R32" s="1363"/>
      <c r="S32" s="1363"/>
      <c r="T32" s="133"/>
      <c r="U32" s="133"/>
      <c r="V32" s="1364"/>
      <c r="W32" s="1365"/>
      <c r="X32" s="1365"/>
      <c r="Y32" s="230"/>
    </row>
    <row r="33" spans="1:25">
      <c r="A33" s="73"/>
      <c r="B33" s="82">
        <v>5402</v>
      </c>
      <c r="C33" s="82" t="s">
        <v>101</v>
      </c>
      <c r="D33" s="1366" t="s">
        <v>104</v>
      </c>
      <c r="E33" s="72"/>
      <c r="F33" s="70"/>
      <c r="G33" s="1280"/>
      <c r="H33" s="1367"/>
      <c r="I33" s="230"/>
      <c r="J33" s="1368"/>
      <c r="K33" s="1369"/>
      <c r="L33" s="1369"/>
      <c r="M33" s="661"/>
      <c r="N33" s="1369"/>
      <c r="O33" s="99"/>
      <c r="P33" s="1370"/>
      <c r="Q33" s="1370"/>
      <c r="R33" s="1370"/>
      <c r="S33" s="1370"/>
      <c r="T33" s="133"/>
      <c r="U33" s="133"/>
      <c r="V33" s="1371"/>
      <c r="W33" s="1372"/>
      <c r="X33" s="1372"/>
      <c r="Y33" s="230"/>
    </row>
    <row r="34" spans="1:25">
      <c r="A34" s="73"/>
      <c r="B34" s="94">
        <v>5402001</v>
      </c>
      <c r="C34" s="94" t="s">
        <v>102</v>
      </c>
      <c r="D34" s="87" t="s">
        <v>105</v>
      </c>
      <c r="E34" s="72"/>
      <c r="F34" s="70"/>
      <c r="G34" s="92"/>
      <c r="H34" s="1352"/>
      <c r="I34" s="1373"/>
      <c r="J34" s="1374"/>
      <c r="K34" s="1369"/>
      <c r="L34" s="1369"/>
      <c r="M34" s="661"/>
      <c r="N34" s="1369"/>
      <c r="O34" s="99"/>
      <c r="P34" s="1370"/>
      <c r="Q34" s="1370"/>
      <c r="R34" s="1370"/>
      <c r="S34" s="1370"/>
      <c r="T34" s="133"/>
      <c r="U34" s="133"/>
      <c r="V34" s="1371"/>
      <c r="W34" s="1372"/>
      <c r="X34" s="1372"/>
      <c r="Y34" s="230"/>
    </row>
    <row r="35" spans="1:25" ht="16.5" customHeight="1">
      <c r="A35" s="88"/>
      <c r="B35" s="111">
        <v>54020010022</v>
      </c>
      <c r="C35" s="70" t="s">
        <v>103</v>
      </c>
      <c r="D35" s="101" t="s">
        <v>1034</v>
      </c>
      <c r="E35" s="70"/>
      <c r="F35" s="98">
        <v>1</v>
      </c>
      <c r="G35" s="92"/>
      <c r="H35" s="72"/>
      <c r="I35" s="71"/>
      <c r="J35" s="71"/>
      <c r="K35" s="658"/>
      <c r="L35" s="1268"/>
      <c r="M35" s="661"/>
      <c r="N35" s="1268"/>
      <c r="O35" s="99"/>
      <c r="P35" s="1356"/>
      <c r="Q35" s="1356"/>
      <c r="R35" s="1356"/>
      <c r="S35" s="1356"/>
      <c r="T35" s="133"/>
      <c r="U35" s="133"/>
      <c r="V35" s="225"/>
      <c r="W35" s="275"/>
      <c r="X35" s="275"/>
      <c r="Y35" s="74"/>
    </row>
    <row r="36" spans="1:25" ht="16.5" customHeight="1">
      <c r="A36" s="2849">
        <v>4134</v>
      </c>
      <c r="B36" s="2853"/>
      <c r="C36" s="2849" t="s">
        <v>109</v>
      </c>
      <c r="D36" s="2921" t="s">
        <v>1035</v>
      </c>
      <c r="E36" s="72" t="s">
        <v>1036</v>
      </c>
      <c r="F36" s="70"/>
      <c r="G36" s="1347"/>
      <c r="H36" s="1265">
        <f>+H37</f>
        <v>1</v>
      </c>
      <c r="I36" s="934"/>
      <c r="J36" s="934"/>
      <c r="K36" s="1375">
        <f t="shared" ref="K36:L36" si="21">K37</f>
        <v>1</v>
      </c>
      <c r="L36" s="660">
        <f t="shared" si="21"/>
        <v>1</v>
      </c>
      <c r="M36" s="661">
        <f t="shared" ref="M36:N36" si="22">+M37</f>
        <v>1</v>
      </c>
      <c r="N36" s="660" t="str">
        <f t="shared" si="22"/>
        <v>49.5%</v>
      </c>
      <c r="O36" s="2992" t="str">
        <f>IF(Q36&gt;0,N36,"na")</f>
        <v>49.5%</v>
      </c>
      <c r="P36" s="133">
        <f t="shared" ref="P36:S36" si="23">P37</f>
        <v>769548375</v>
      </c>
      <c r="Q36" s="133">
        <f t="shared" si="23"/>
        <v>2368809120</v>
      </c>
      <c r="R36" s="133">
        <f t="shared" si="23"/>
        <v>1850181000</v>
      </c>
      <c r="S36" s="133">
        <f t="shared" si="23"/>
        <v>1301593000</v>
      </c>
      <c r="T36" s="660">
        <f t="shared" ref="T36:U37" si="24">IF(Q36=0,0,R36/Q36)</f>
        <v>0.78105955620434286</v>
      </c>
      <c r="U36" s="660">
        <f t="shared" si="24"/>
        <v>0.70349495535842166</v>
      </c>
      <c r="V36" s="1318"/>
      <c r="W36" s="1318"/>
      <c r="X36" s="1317"/>
      <c r="Y36" s="2981" t="s">
        <v>1037</v>
      </c>
    </row>
    <row r="37" spans="1:25" ht="189" customHeight="1">
      <c r="A37" s="2982"/>
      <c r="B37" s="2982"/>
      <c r="C37" s="2982"/>
      <c r="D37" s="2982"/>
      <c r="E37" s="72" t="s">
        <v>1038</v>
      </c>
      <c r="F37" s="1353"/>
      <c r="G37" s="92" t="s">
        <v>1034</v>
      </c>
      <c r="H37" s="99">
        <v>1</v>
      </c>
      <c r="I37" s="92" t="s">
        <v>1039</v>
      </c>
      <c r="J37" s="92" t="s">
        <v>1040</v>
      </c>
      <c r="K37" s="1264">
        <v>1</v>
      </c>
      <c r="L37" s="1342">
        <v>1</v>
      </c>
      <c r="M37" s="661">
        <v>1</v>
      </c>
      <c r="N37" s="1264" t="s">
        <v>4898</v>
      </c>
      <c r="O37" s="2982"/>
      <c r="P37" s="133">
        <v>769548375</v>
      </c>
      <c r="Q37" s="133">
        <v>2368809120</v>
      </c>
      <c r="R37" s="133">
        <v>1850181000</v>
      </c>
      <c r="S37" s="133">
        <v>1301593000</v>
      </c>
      <c r="T37" s="660">
        <f t="shared" si="24"/>
        <v>0.78105955620434286</v>
      </c>
      <c r="U37" s="660">
        <f t="shared" si="24"/>
        <v>0.70349495535842166</v>
      </c>
      <c r="V37" s="1318">
        <v>45309</v>
      </c>
      <c r="W37" s="1318">
        <v>45657</v>
      </c>
      <c r="X37" s="1351" t="s">
        <v>4899</v>
      </c>
      <c r="Y37" s="2982"/>
    </row>
    <row r="38" spans="1:25" ht="16.5" customHeight="1">
      <c r="A38" s="86"/>
      <c r="B38" s="129">
        <v>5402003</v>
      </c>
      <c r="C38" s="1117" t="s">
        <v>102</v>
      </c>
      <c r="D38" s="1085" t="s">
        <v>240</v>
      </c>
      <c r="E38" s="94"/>
      <c r="F38" s="70"/>
      <c r="G38" s="1280"/>
      <c r="H38" s="1286"/>
      <c r="I38" s="1376"/>
      <c r="J38" s="1376"/>
      <c r="K38" s="1287"/>
      <c r="L38" s="1288"/>
      <c r="M38" s="661"/>
      <c r="N38" s="1288"/>
      <c r="O38" s="99"/>
      <c r="P38" s="1377"/>
      <c r="Q38" s="1377"/>
      <c r="R38" s="1377"/>
      <c r="S38" s="1377"/>
      <c r="T38" s="133"/>
      <c r="U38" s="133"/>
      <c r="V38" s="677"/>
      <c r="W38" s="1378"/>
      <c r="X38" s="1378"/>
      <c r="Y38" s="74"/>
    </row>
    <row r="39" spans="1:25" ht="16.5" customHeight="1">
      <c r="A39" s="86"/>
      <c r="B39" s="111">
        <v>54020030001</v>
      </c>
      <c r="C39" s="70" t="s">
        <v>103</v>
      </c>
      <c r="D39" s="101" t="s">
        <v>1041</v>
      </c>
      <c r="E39" s="94"/>
      <c r="F39" s="70">
        <v>1</v>
      </c>
      <c r="G39" s="92"/>
      <c r="H39" s="72"/>
      <c r="I39" s="93"/>
      <c r="J39" s="93"/>
      <c r="K39" s="664"/>
      <c r="L39" s="1288"/>
      <c r="M39" s="661"/>
      <c r="N39" s="1288"/>
      <c r="O39" s="99"/>
      <c r="P39" s="1379"/>
      <c r="Q39" s="1379"/>
      <c r="R39" s="1377"/>
      <c r="S39" s="1377"/>
      <c r="T39" s="133"/>
      <c r="U39" s="133"/>
      <c r="V39" s="677"/>
      <c r="W39" s="1378"/>
      <c r="X39" s="1380"/>
      <c r="Y39" s="1289"/>
    </row>
    <row r="40" spans="1:25" ht="16.5" customHeight="1">
      <c r="A40" s="2849">
        <v>4134</v>
      </c>
      <c r="B40" s="2988"/>
      <c r="C40" s="2849" t="s">
        <v>109</v>
      </c>
      <c r="D40" s="2921" t="s">
        <v>1042</v>
      </c>
      <c r="E40" s="72" t="s">
        <v>1043</v>
      </c>
      <c r="F40" s="70"/>
      <c r="G40" s="934"/>
      <c r="H40" s="90">
        <f>+H41+H42</f>
        <v>0</v>
      </c>
      <c r="I40" s="1381"/>
      <c r="J40" s="1381"/>
      <c r="K40" s="1264">
        <f>+K41+K42</f>
        <v>2</v>
      </c>
      <c r="L40" s="660">
        <f>L41+L42</f>
        <v>1</v>
      </c>
      <c r="M40" s="661">
        <f>+M42+M41</f>
        <v>0</v>
      </c>
      <c r="N40" s="134">
        <f>+N41+N42</f>
        <v>0.52</v>
      </c>
      <c r="O40" s="2989">
        <f>IF(Q40&gt;0,N40,"na")</f>
        <v>0.52</v>
      </c>
      <c r="P40" s="133">
        <f t="shared" ref="P40:Q40" si="25">+P41+P42</f>
        <v>791892435</v>
      </c>
      <c r="Q40" s="133">
        <f t="shared" si="25"/>
        <v>791892435</v>
      </c>
      <c r="R40" s="1332">
        <f t="shared" ref="R40:S40" si="26">R41+R42</f>
        <v>786648000</v>
      </c>
      <c r="S40" s="1332">
        <f t="shared" si="26"/>
        <v>106462000</v>
      </c>
      <c r="T40" s="660">
        <f t="shared" ref="T40:U42" si="27">IF(Q40=0,0,R40/Q40)</f>
        <v>0.99337733918369864</v>
      </c>
      <c r="U40" s="660">
        <f t="shared" si="27"/>
        <v>0.13533626221639158</v>
      </c>
      <c r="V40" s="1318"/>
      <c r="W40" s="1382"/>
      <c r="X40" s="1318"/>
      <c r="Y40" s="2984" t="s">
        <v>995</v>
      </c>
    </row>
    <row r="41" spans="1:25" ht="67.5" customHeight="1">
      <c r="A41" s="2987"/>
      <c r="B41" s="2987"/>
      <c r="C41" s="2987"/>
      <c r="D41" s="2987"/>
      <c r="E41" s="1290" t="s">
        <v>1044</v>
      </c>
      <c r="F41" s="1341"/>
      <c r="G41" s="2853" t="s">
        <v>1041</v>
      </c>
      <c r="H41" s="1291">
        <v>0</v>
      </c>
      <c r="I41" s="934" t="s">
        <v>1045</v>
      </c>
      <c r="J41" s="934" t="s">
        <v>1046</v>
      </c>
      <c r="K41" s="1323">
        <v>1</v>
      </c>
      <c r="L41" s="660">
        <v>0.7</v>
      </c>
      <c r="M41" s="661">
        <v>0</v>
      </c>
      <c r="N41" s="134">
        <v>0.42</v>
      </c>
      <c r="O41" s="2990"/>
      <c r="P41" s="133">
        <v>689168685</v>
      </c>
      <c r="Q41" s="133">
        <v>689168685</v>
      </c>
      <c r="R41" s="1332">
        <v>689168000</v>
      </c>
      <c r="S41" s="133">
        <v>30000000</v>
      </c>
      <c r="T41" s="660">
        <f t="shared" si="27"/>
        <v>0.99999900604886016</v>
      </c>
      <c r="U41" s="660">
        <f t="shared" si="27"/>
        <v>4.3530750121886098E-2</v>
      </c>
      <c r="V41" s="1318">
        <v>45338</v>
      </c>
      <c r="W41" s="1318">
        <v>45657</v>
      </c>
      <c r="X41" s="1383" t="s">
        <v>4900</v>
      </c>
      <c r="Y41" s="2985"/>
    </row>
    <row r="42" spans="1:25" ht="108">
      <c r="A42" s="2982"/>
      <c r="B42" s="2982"/>
      <c r="C42" s="2982"/>
      <c r="D42" s="2982"/>
      <c r="E42" s="72" t="s">
        <v>1047</v>
      </c>
      <c r="F42" s="1349"/>
      <c r="G42" s="2982"/>
      <c r="H42" s="90">
        <v>0</v>
      </c>
      <c r="I42" s="92" t="s">
        <v>1048</v>
      </c>
      <c r="J42" s="92" t="s">
        <v>1049</v>
      </c>
      <c r="K42" s="1323">
        <v>1</v>
      </c>
      <c r="L42" s="660">
        <v>0.3</v>
      </c>
      <c r="M42" s="661">
        <v>0</v>
      </c>
      <c r="N42" s="134">
        <v>0.1</v>
      </c>
      <c r="O42" s="2991"/>
      <c r="P42" s="133">
        <v>102723750</v>
      </c>
      <c r="Q42" s="133">
        <v>102723750</v>
      </c>
      <c r="R42" s="1332">
        <v>97480000</v>
      </c>
      <c r="S42" s="133">
        <v>76462000</v>
      </c>
      <c r="T42" s="660">
        <f t="shared" si="27"/>
        <v>0.94895289550858497</v>
      </c>
      <c r="U42" s="660">
        <f t="shared" si="27"/>
        <v>0.78438654082888792</v>
      </c>
      <c r="V42" s="1318">
        <v>45338</v>
      </c>
      <c r="W42" s="1318">
        <v>45657</v>
      </c>
      <c r="X42" s="1384" t="s">
        <v>4901</v>
      </c>
      <c r="Y42" s="2986"/>
    </row>
    <row r="43" spans="1:25">
      <c r="A43" s="88"/>
      <c r="B43" s="111">
        <v>54020030002</v>
      </c>
      <c r="C43" s="70" t="s">
        <v>103</v>
      </c>
      <c r="D43" s="101" t="s">
        <v>1050</v>
      </c>
      <c r="E43" s="1341"/>
      <c r="F43" s="678">
        <v>1</v>
      </c>
      <c r="G43" s="1322"/>
      <c r="H43" s="1385"/>
      <c r="I43" s="71"/>
      <c r="J43" s="1267"/>
      <c r="K43" s="1386"/>
      <c r="L43" s="1268"/>
      <c r="M43" s="1268"/>
      <c r="N43" s="1268"/>
      <c r="O43" s="99"/>
      <c r="P43" s="1387"/>
      <c r="Q43" s="1387"/>
      <c r="R43" s="1356"/>
      <c r="S43" s="1356"/>
      <c r="T43" s="133"/>
      <c r="U43" s="133"/>
      <c r="V43" s="225"/>
      <c r="W43" s="1388"/>
      <c r="X43" s="1388"/>
      <c r="Y43" s="1292"/>
    </row>
    <row r="44" spans="1:25" ht="16.5" customHeight="1">
      <c r="A44" s="2849">
        <v>4134</v>
      </c>
      <c r="B44" s="2853"/>
      <c r="C44" s="2849" t="s">
        <v>109</v>
      </c>
      <c r="D44" s="2921" t="s">
        <v>1051</v>
      </c>
      <c r="E44" s="1293" t="s">
        <v>1052</v>
      </c>
      <c r="F44" s="70"/>
      <c r="G44" s="1389"/>
      <c r="H44" s="1390">
        <f>+H45</f>
        <v>1</v>
      </c>
      <c r="I44" s="1331"/>
      <c r="J44" s="92"/>
      <c r="K44" s="1294">
        <f t="shared" ref="K44:L44" si="28">K45</f>
        <v>0.8</v>
      </c>
      <c r="L44" s="660">
        <f t="shared" si="28"/>
        <v>1</v>
      </c>
      <c r="M44" s="660">
        <f>+M45</f>
        <v>0.8</v>
      </c>
      <c r="N44" s="134">
        <v>0.46200000000000002</v>
      </c>
      <c r="O44" s="2983">
        <f>IF(Q44&gt;0,N44,"na")</f>
        <v>0.46200000000000002</v>
      </c>
      <c r="P44" s="133">
        <f t="shared" ref="P44:S44" si="29">P45</f>
        <v>4914158725</v>
      </c>
      <c r="Q44" s="133">
        <f t="shared" si="29"/>
        <v>15811988849</v>
      </c>
      <c r="R44" s="133">
        <f t="shared" si="29"/>
        <v>6275834283</v>
      </c>
      <c r="S44" s="133">
        <f t="shared" si="29"/>
        <v>1014390000</v>
      </c>
      <c r="T44" s="660">
        <f t="shared" ref="T44:U45" si="30">IF(Q44=0,0,R44/Q44)</f>
        <v>0.39690353585070376</v>
      </c>
      <c r="U44" s="660">
        <f t="shared" si="30"/>
        <v>0.16163428705372015</v>
      </c>
      <c r="V44" s="1318"/>
      <c r="W44" s="1318"/>
      <c r="X44" s="1318"/>
      <c r="Y44" s="2981" t="s">
        <v>995</v>
      </c>
    </row>
    <row r="45" spans="1:25" ht="162">
      <c r="A45" s="2982"/>
      <c r="B45" s="2982"/>
      <c r="C45" s="2982"/>
      <c r="D45" s="2982"/>
      <c r="E45" s="1391" t="s">
        <v>1053</v>
      </c>
      <c r="F45" s="1295"/>
      <c r="G45" s="1392" t="s">
        <v>1050</v>
      </c>
      <c r="H45" s="1393">
        <v>1</v>
      </c>
      <c r="I45" s="92" t="s">
        <v>1054</v>
      </c>
      <c r="J45" s="1322" t="s">
        <v>1055</v>
      </c>
      <c r="K45" s="1394">
        <v>0.8</v>
      </c>
      <c r="L45" s="660">
        <v>1</v>
      </c>
      <c r="M45" s="660">
        <v>0.8</v>
      </c>
      <c r="N45" s="134">
        <v>0.46200000000000002</v>
      </c>
      <c r="O45" s="2982"/>
      <c r="P45" s="133">
        <v>4914158725</v>
      </c>
      <c r="Q45" s="133">
        <v>15811988849</v>
      </c>
      <c r="R45" s="133">
        <v>6275834283</v>
      </c>
      <c r="S45" s="133">
        <v>1014390000</v>
      </c>
      <c r="T45" s="660">
        <f t="shared" si="30"/>
        <v>0.39690353585070376</v>
      </c>
      <c r="U45" s="660">
        <f t="shared" si="30"/>
        <v>0.16163428705372015</v>
      </c>
      <c r="V45" s="1318">
        <v>45309</v>
      </c>
      <c r="W45" s="1318">
        <v>45657</v>
      </c>
      <c r="X45" s="1313" t="s">
        <v>4902</v>
      </c>
      <c r="Y45" s="2982"/>
    </row>
    <row r="46" spans="1:25">
      <c r="A46" s="88"/>
      <c r="B46" s="111">
        <v>54020030013</v>
      </c>
      <c r="C46" s="70" t="s">
        <v>103</v>
      </c>
      <c r="D46" s="101" t="s">
        <v>1056</v>
      </c>
      <c r="E46" s="1395"/>
      <c r="F46" s="938">
        <v>1.2E-2</v>
      </c>
      <c r="G46" s="1392"/>
      <c r="H46" s="1396">
        <f>+H48</f>
        <v>0</v>
      </c>
      <c r="I46" s="270"/>
      <c r="J46" s="1397"/>
      <c r="K46" s="1386"/>
      <c r="L46" s="1398"/>
      <c r="M46" s="1268"/>
      <c r="N46" s="1268"/>
      <c r="O46" s="99"/>
      <c r="P46" s="1356"/>
      <c r="Q46" s="1356"/>
      <c r="R46" s="1356"/>
      <c r="S46" s="1356"/>
      <c r="T46" s="133"/>
      <c r="U46" s="133"/>
      <c r="V46" s="225"/>
      <c r="W46" s="275"/>
      <c r="X46" s="275"/>
      <c r="Y46" s="74"/>
    </row>
    <row r="47" spans="1:25" ht="16.5" customHeight="1">
      <c r="A47" s="2849">
        <v>4134</v>
      </c>
      <c r="B47" s="2849"/>
      <c r="C47" s="2849" t="s">
        <v>109</v>
      </c>
      <c r="D47" s="2921" t="s">
        <v>1057</v>
      </c>
      <c r="E47" s="1293" t="s">
        <v>1058</v>
      </c>
      <c r="F47" s="1296"/>
      <c r="G47" s="1399"/>
      <c r="H47" s="938"/>
      <c r="I47" s="1156"/>
      <c r="J47" s="1400"/>
      <c r="K47" s="1401">
        <f t="shared" ref="K47:L47" si="31">K48</f>
        <v>1</v>
      </c>
      <c r="L47" s="660">
        <f t="shared" si="31"/>
        <v>1</v>
      </c>
      <c r="M47" s="1342">
        <f t="shared" ref="M47:N47" si="32">+M48</f>
        <v>0</v>
      </c>
      <c r="N47" s="134">
        <f t="shared" si="32"/>
        <v>0.34399999999999997</v>
      </c>
      <c r="O47" s="2983">
        <f>IF(Q47&gt;0,N47,"na")</f>
        <v>0.34399999999999997</v>
      </c>
      <c r="P47" s="133">
        <f t="shared" ref="P47:S47" si="33">P48</f>
        <v>2390296575</v>
      </c>
      <c r="Q47" s="133">
        <f t="shared" si="33"/>
        <v>10327355000</v>
      </c>
      <c r="R47" s="133">
        <f t="shared" si="33"/>
        <v>6282331446</v>
      </c>
      <c r="S47" s="133">
        <f t="shared" si="33"/>
        <v>1737967000</v>
      </c>
      <c r="T47" s="660">
        <f t="shared" ref="T47:U48" si="34">IF(Q47=0,0,R47/Q47)</f>
        <v>0.60831950155678782</v>
      </c>
      <c r="U47" s="660">
        <f t="shared" si="34"/>
        <v>0.2766436338067732</v>
      </c>
      <c r="V47" s="1318"/>
      <c r="W47" s="1318"/>
      <c r="X47" s="1318"/>
      <c r="Y47" s="2981" t="s">
        <v>995</v>
      </c>
    </row>
    <row r="48" spans="1:25" ht="202.5">
      <c r="A48" s="2982"/>
      <c r="B48" s="2982"/>
      <c r="C48" s="2982"/>
      <c r="D48" s="2982"/>
      <c r="E48" s="1293" t="s">
        <v>1059</v>
      </c>
      <c r="F48" s="99"/>
      <c r="G48" s="92" t="s">
        <v>1056</v>
      </c>
      <c r="H48" s="1402">
        <v>0</v>
      </c>
      <c r="I48" s="92" t="s">
        <v>4903</v>
      </c>
      <c r="J48" s="1322" t="s">
        <v>1060</v>
      </c>
      <c r="K48" s="1403">
        <v>1</v>
      </c>
      <c r="L48" s="660">
        <v>1</v>
      </c>
      <c r="M48" s="1404">
        <v>0</v>
      </c>
      <c r="N48" s="134">
        <v>0.34399999999999997</v>
      </c>
      <c r="O48" s="2982"/>
      <c r="P48" s="133">
        <v>2390296575</v>
      </c>
      <c r="Q48" s="133">
        <v>10327355000</v>
      </c>
      <c r="R48" s="133">
        <v>6282331446</v>
      </c>
      <c r="S48" s="133">
        <v>1737967000</v>
      </c>
      <c r="T48" s="660">
        <f t="shared" si="34"/>
        <v>0.60831950155678782</v>
      </c>
      <c r="U48" s="660">
        <f t="shared" si="34"/>
        <v>0.2766436338067732</v>
      </c>
      <c r="V48" s="1318">
        <v>45309</v>
      </c>
      <c r="W48" s="1318">
        <v>45657</v>
      </c>
      <c r="X48" s="1313" t="s">
        <v>4904</v>
      </c>
      <c r="Y48" s="2982"/>
    </row>
    <row r="49" spans="1:25">
      <c r="A49" s="53"/>
      <c r="B49" s="102"/>
      <c r="C49" s="102"/>
      <c r="D49" s="53"/>
      <c r="E49" s="53"/>
      <c r="F49" s="53"/>
      <c r="G49" s="53"/>
      <c r="H49" s="53"/>
      <c r="I49" s="53"/>
      <c r="J49" s="102"/>
      <c r="K49" s="53"/>
      <c r="L49" s="53"/>
      <c r="M49" s="53"/>
      <c r="N49" s="53"/>
      <c r="O49" s="53"/>
      <c r="P49" s="53"/>
      <c r="Q49" s="53"/>
      <c r="R49" s="53"/>
      <c r="S49" s="53"/>
      <c r="T49" s="53"/>
      <c r="U49" s="53"/>
      <c r="V49" s="53"/>
      <c r="W49" s="53"/>
      <c r="X49" s="1405"/>
      <c r="Y49" s="53"/>
    </row>
    <row r="50" spans="1:25" s="45" customFormat="1">
      <c r="A50" s="53"/>
      <c r="B50" s="52" t="s">
        <v>36</v>
      </c>
      <c r="C50" s="52">
        <f>COUNTIF(C11:C48,"pr")</f>
        <v>11</v>
      </c>
      <c r="D50" s="53"/>
      <c r="E50" s="53"/>
      <c r="F50" s="53"/>
      <c r="G50" s="53"/>
      <c r="H50" s="53"/>
      <c r="I50" s="53"/>
      <c r="J50" s="611" t="s">
        <v>4905</v>
      </c>
      <c r="K50" s="105"/>
      <c r="L50" s="105"/>
      <c r="M50" s="105"/>
      <c r="N50" s="1253" t="s">
        <v>113</v>
      </c>
      <c r="O50" s="122">
        <f>AVERAGE(O11:O48)</f>
        <v>0.32720000000000005</v>
      </c>
      <c r="P50" s="117">
        <f t="shared" ref="P50:S50" si="35">+P47+P44+P40+P36+P30+P27+P24+P20+P17+P14+P11</f>
        <v>11000000000</v>
      </c>
      <c r="Q50" s="117">
        <f t="shared" si="35"/>
        <v>32541797849</v>
      </c>
      <c r="R50" s="117">
        <f t="shared" si="35"/>
        <v>17809866035</v>
      </c>
      <c r="S50" s="117">
        <f t="shared" si="35"/>
        <v>5685875829</v>
      </c>
      <c r="T50" s="2064">
        <f>+IF(Q50=0,0,R50/Q50)</f>
        <v>0.54729201249547099</v>
      </c>
      <c r="U50" s="2064">
        <f>+IF(R50=0,0,S50/R50)</f>
        <v>0.31925427276241719</v>
      </c>
      <c r="V50" s="53"/>
      <c r="W50" s="53"/>
      <c r="X50" s="53"/>
      <c r="Y50" s="53"/>
    </row>
    <row r="51" spans="1:25">
      <c r="A51" s="521"/>
      <c r="B51" s="520"/>
      <c r="C51" s="520"/>
      <c r="D51" s="521"/>
      <c r="E51" s="374"/>
      <c r="F51" s="373"/>
      <c r="G51" s="373"/>
      <c r="H51" s="469"/>
      <c r="I51" s="373"/>
      <c r="J51" s="374"/>
      <c r="K51" s="376"/>
      <c r="L51" s="376"/>
      <c r="M51" s="373"/>
      <c r="N51" s="1255" t="s">
        <v>133</v>
      </c>
      <c r="O51" s="380">
        <f>COUNTIF(O11:O48,"=0%")</f>
        <v>0</v>
      </c>
      <c r="P51" s="54">
        <v>11000000000</v>
      </c>
      <c r="Q51" s="54">
        <v>32541797849</v>
      </c>
      <c r="R51" s="54">
        <v>17809866035</v>
      </c>
      <c r="S51" s="54">
        <v>5685875829</v>
      </c>
      <c r="T51" s="521"/>
      <c r="U51" s="521"/>
      <c r="V51" s="521"/>
      <c r="W51" s="521"/>
      <c r="X51" s="521"/>
      <c r="Y51" s="521"/>
    </row>
  </sheetData>
  <mergeCells count="99">
    <mergeCell ref="Y5:Y6"/>
    <mergeCell ref="X5:X6"/>
    <mergeCell ref="J5:J6"/>
    <mergeCell ref="A5:A6"/>
    <mergeCell ref="V3:W3"/>
    <mergeCell ref="C3:R3"/>
    <mergeCell ref="S3:U3"/>
    <mergeCell ref="C5:C6"/>
    <mergeCell ref="G5:G6"/>
    <mergeCell ref="W5:W6"/>
    <mergeCell ref="S5:S6"/>
    <mergeCell ref="K5:K6"/>
    <mergeCell ref="P5:P6"/>
    <mergeCell ref="N5:N6"/>
    <mergeCell ref="T5:T6"/>
    <mergeCell ref="O5:O6"/>
    <mergeCell ref="A1:X1"/>
    <mergeCell ref="D5:D6"/>
    <mergeCell ref="E5:E6"/>
    <mergeCell ref="M5:M6"/>
    <mergeCell ref="Q5:Q6"/>
    <mergeCell ref="B5:B6"/>
    <mergeCell ref="I5:I6"/>
    <mergeCell ref="A3:B3"/>
    <mergeCell ref="U5:U6"/>
    <mergeCell ref="V5:V6"/>
    <mergeCell ref="F5:F6"/>
    <mergeCell ref="A2:Y2"/>
    <mergeCell ref="R5:R6"/>
    <mergeCell ref="L5:L6"/>
    <mergeCell ref="A4:Y4"/>
    <mergeCell ref="H5:H6"/>
    <mergeCell ref="Y12:Y13"/>
    <mergeCell ref="A14:A15"/>
    <mergeCell ref="B14:B15"/>
    <mergeCell ref="C14:C15"/>
    <mergeCell ref="D14:D15"/>
    <mergeCell ref="O14:O15"/>
    <mergeCell ref="Y14:Y15"/>
    <mergeCell ref="A11:A12"/>
    <mergeCell ref="B11:B12"/>
    <mergeCell ref="C11:C12"/>
    <mergeCell ref="D11:D12"/>
    <mergeCell ref="O11:O12"/>
    <mergeCell ref="Y17:Y18"/>
    <mergeCell ref="A19:A22"/>
    <mergeCell ref="B20:B22"/>
    <mergeCell ref="C20:C22"/>
    <mergeCell ref="D20:D22"/>
    <mergeCell ref="O20:O22"/>
    <mergeCell ref="Y20:Y22"/>
    <mergeCell ref="A16:A18"/>
    <mergeCell ref="B17:B18"/>
    <mergeCell ref="C17:C18"/>
    <mergeCell ref="D17:D18"/>
    <mergeCell ref="O17:O18"/>
    <mergeCell ref="Y24:Y25"/>
    <mergeCell ref="A27:A28"/>
    <mergeCell ref="B27:B28"/>
    <mergeCell ref="C27:C28"/>
    <mergeCell ref="D27:D28"/>
    <mergeCell ref="O27:O28"/>
    <mergeCell ref="Y27:Y28"/>
    <mergeCell ref="A23:A25"/>
    <mergeCell ref="B24:B25"/>
    <mergeCell ref="C24:C25"/>
    <mergeCell ref="D24:D25"/>
    <mergeCell ref="O24:O25"/>
    <mergeCell ref="Y30:Y31"/>
    <mergeCell ref="A36:A37"/>
    <mergeCell ref="B36:B37"/>
    <mergeCell ref="C36:C37"/>
    <mergeCell ref="D36:D37"/>
    <mergeCell ref="O36:O37"/>
    <mergeCell ref="Y36:Y37"/>
    <mergeCell ref="A29:A31"/>
    <mergeCell ref="B30:B31"/>
    <mergeCell ref="C30:C31"/>
    <mergeCell ref="D30:D31"/>
    <mergeCell ref="O30:O31"/>
    <mergeCell ref="Y40:Y42"/>
    <mergeCell ref="G41:G42"/>
    <mergeCell ref="A44:A45"/>
    <mergeCell ref="B44:B45"/>
    <mergeCell ref="C44:C45"/>
    <mergeCell ref="D44:D45"/>
    <mergeCell ref="O44:O45"/>
    <mergeCell ref="Y44:Y45"/>
    <mergeCell ref="A40:A42"/>
    <mergeCell ref="B40:B42"/>
    <mergeCell ref="C40:C42"/>
    <mergeCell ref="D40:D42"/>
    <mergeCell ref="O40:O42"/>
    <mergeCell ref="Y47:Y48"/>
    <mergeCell ref="A47:A48"/>
    <mergeCell ref="B47:B48"/>
    <mergeCell ref="C47:C48"/>
    <mergeCell ref="D47:D48"/>
    <mergeCell ref="O47:O48"/>
  </mergeCells>
  <dataValidations count="1">
    <dataValidation type="decimal" operator="greaterThanOrEqual" allowBlank="1" showErrorMessage="1" sqref="P22 P24:P25" xr:uid="{2C76E439-5C9E-4DEF-B9F0-18B8B6B981B1}">
      <formula1>0</formula1>
    </dataValidation>
  </dataValidations>
  <printOptions horizontalCentered="1"/>
  <pageMargins left="0.51181102362204722" right="0.51181102362204722" top="0.78740157480314965" bottom="1.1811023622047245" header="0.78740157480314965" footer="0.78740157480314965"/>
  <pageSetup paperSize="529" scale="43" firstPageNumber="4" orientation="landscape" r:id="rId1"/>
  <headerFooter>
    <oddFooter>&amp;L&amp;"Arial,Normal"&amp;8Este documento es propiedad de la Administración Central del Municipio de Santiago de Cali. Prohibida su reproducción por cualquier medio, sin previa autorización del señor Alcalde.   &amp;R&amp;"Arial,Normal"&amp;8Página &amp;P de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28</vt:i4>
      </vt:variant>
      <vt:variant>
        <vt:lpstr>Rangos con nombre</vt:lpstr>
      </vt:variant>
      <vt:variant>
        <vt:i4>28</vt:i4>
      </vt:variant>
    </vt:vector>
  </HeadingPairs>
  <TitlesOfParts>
    <vt:vector size="56" baseType="lpstr">
      <vt:lpstr>Junio de 2024</vt:lpstr>
      <vt:lpstr>4112 Gobierno</vt:lpstr>
      <vt:lpstr>4121 Juridica</vt:lpstr>
      <vt:lpstr>4123 Control Interno</vt:lpstr>
      <vt:lpstr>4124 D Control Disciplinario</vt:lpstr>
      <vt:lpstr>4131 Hacienda</vt:lpstr>
      <vt:lpstr>4132 Planeacion</vt:lpstr>
      <vt:lpstr>4133 Dagma</vt:lpstr>
      <vt:lpstr>4134 DATIC</vt:lpstr>
      <vt:lpstr>4135 Contratacion</vt:lpstr>
      <vt:lpstr>4137 DADII</vt:lpstr>
      <vt:lpstr>4143 Educacion</vt:lpstr>
      <vt:lpstr>4145 Salud</vt:lpstr>
      <vt:lpstr>4146 Bienestar Social</vt:lpstr>
      <vt:lpstr>4147 Vivienda</vt:lpstr>
      <vt:lpstr>4148 Cultura</vt:lpstr>
      <vt:lpstr>4151 Infraestructura</vt:lpstr>
      <vt:lpstr>4152 Movilidad</vt:lpstr>
      <vt:lpstr>4161 Seguridad y Justicia</vt:lpstr>
      <vt:lpstr>4162 Deporte</vt:lpstr>
      <vt:lpstr>4163 Riesgo</vt:lpstr>
      <vt:lpstr>4164 Paz y CC</vt:lpstr>
      <vt:lpstr>4171 Desarrollo Eco</vt:lpstr>
      <vt:lpstr>4172 Turismo</vt:lpstr>
      <vt:lpstr>4173 Desarrollo Territorial</vt:lpstr>
      <vt:lpstr>4181 Bienes y Servicios</vt:lpstr>
      <vt:lpstr>4182 Servicios Publicos</vt:lpstr>
      <vt:lpstr>4181 Protección Animal</vt:lpstr>
      <vt:lpstr>'4147 Vivienda'!Área_de_impresión</vt:lpstr>
      <vt:lpstr>'4112 Gobierno'!Títulos_a_imprimir</vt:lpstr>
      <vt:lpstr>'4121 Juridica'!Títulos_a_imprimir</vt:lpstr>
      <vt:lpstr>'4123 Control Interno'!Títulos_a_imprimir</vt:lpstr>
      <vt:lpstr>'4124 D Control Disciplinario'!Títulos_a_imprimir</vt:lpstr>
      <vt:lpstr>'4131 Hacienda'!Títulos_a_imprimir</vt:lpstr>
      <vt:lpstr>'4132 Planeacion'!Títulos_a_imprimir</vt:lpstr>
      <vt:lpstr>'4133 Dagma'!Títulos_a_imprimir</vt:lpstr>
      <vt:lpstr>'4134 DATIC'!Títulos_a_imprimir</vt:lpstr>
      <vt:lpstr>'4135 Contratacion'!Títulos_a_imprimir</vt:lpstr>
      <vt:lpstr>'4137 DADII'!Títulos_a_imprimir</vt:lpstr>
      <vt:lpstr>'4143 Educacion'!Títulos_a_imprimir</vt:lpstr>
      <vt:lpstr>'4145 Salud'!Títulos_a_imprimir</vt:lpstr>
      <vt:lpstr>'4146 Bienestar Social'!Títulos_a_imprimir</vt:lpstr>
      <vt:lpstr>'4147 Vivienda'!Títulos_a_imprimir</vt:lpstr>
      <vt:lpstr>'4148 Cultura'!Títulos_a_imprimir</vt:lpstr>
      <vt:lpstr>'4151 Infraestructura'!Títulos_a_imprimir</vt:lpstr>
      <vt:lpstr>'4152 Movilidad'!Títulos_a_imprimir</vt:lpstr>
      <vt:lpstr>'4161 Seguridad y Justicia'!Títulos_a_imprimir</vt:lpstr>
      <vt:lpstr>'4162 Deporte'!Títulos_a_imprimir</vt:lpstr>
      <vt:lpstr>'4163 Riesgo'!Títulos_a_imprimir</vt:lpstr>
      <vt:lpstr>'4164 Paz y CC'!Títulos_a_imprimir</vt:lpstr>
      <vt:lpstr>'4171 Desarrollo Eco'!Títulos_a_imprimir</vt:lpstr>
      <vt:lpstr>'4172 Turismo'!Títulos_a_imprimir</vt:lpstr>
      <vt:lpstr>'4173 Desarrollo Territorial'!Títulos_a_imprimir</vt:lpstr>
      <vt:lpstr>'4181 Bienes y Servicios'!Títulos_a_imprimir</vt:lpstr>
      <vt:lpstr>'4181 Protección Animal'!Títulos_a_imprimir</vt:lpstr>
      <vt:lpstr>'4182 Servicios Publicos'!Títulos_a_imprimir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Yanny Alejandro Ramirez</dc:creator>
  <cp:lastModifiedBy>Yanny Alejandro Ramírez</cp:lastModifiedBy>
  <cp:lastPrinted>2022-12-19T19:44:57Z</cp:lastPrinted>
  <dcterms:created xsi:type="dcterms:W3CDTF">2012-02-09T15:02:40Z</dcterms:created>
  <dcterms:modified xsi:type="dcterms:W3CDTF">2024-08-05T14:45:52Z</dcterms:modified>
</cp:coreProperties>
</file>